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ЦЗ" sheetId="1" r:id="rId1"/>
  </sheets>
  <definedNames>
    <definedName name="_xlnm._FilterDatabase" localSheetId="0" hidden="1">ЦЗ!$A$10:$S$1927</definedName>
  </definedNames>
  <calcPr calcId="152511"/>
</workbook>
</file>

<file path=xl/calcChain.xml><?xml version="1.0" encoding="utf-8"?>
<calcChain xmlns="http://schemas.openxmlformats.org/spreadsheetml/2006/main">
  <c r="Q92" i="1" l="1"/>
  <c r="Q1162" i="1"/>
  <c r="Q1561" i="1"/>
  <c r="Q889" i="1"/>
  <c r="Q1451" i="1"/>
  <c r="Q1435" i="1"/>
  <c r="Q210" i="1"/>
  <c r="Q1492" i="1"/>
  <c r="Q1285" i="1"/>
  <c r="Q159" i="1"/>
  <c r="Q986" i="1"/>
  <c r="Q502" i="1"/>
  <c r="Q854" i="1"/>
  <c r="Q531" i="1"/>
  <c r="Q436" i="1"/>
  <c r="Q407" i="1"/>
  <c r="Q1151" i="1"/>
  <c r="Q401" i="1"/>
  <c r="Q1394" i="1"/>
  <c r="Q1429" i="1"/>
  <c r="Q879" i="1"/>
  <c r="Q219" i="1"/>
  <c r="Q364" i="1"/>
  <c r="Q512" i="1"/>
  <c r="Q975" i="1"/>
  <c r="Q270" i="1"/>
  <c r="Q712" i="1"/>
  <c r="Q899" i="1"/>
  <c r="Q370" i="1"/>
  <c r="Q1560" i="1"/>
  <c r="Q351" i="1"/>
  <c r="Q1213" i="1"/>
  <c r="Q1135" i="1"/>
  <c r="Q1157" i="1"/>
  <c r="Q1378" i="1"/>
  <c r="Q1589" i="1"/>
  <c r="Q472" i="1"/>
  <c r="Q120" i="1"/>
  <c r="Q484" i="1"/>
  <c r="Q1610" i="1"/>
  <c r="Q807" i="1"/>
  <c r="Q802" i="1"/>
  <c r="Q475" i="1"/>
  <c r="Q1625" i="1"/>
  <c r="Q967" i="1"/>
  <c r="Q1626" i="1"/>
  <c r="Q826" i="1"/>
  <c r="Q1607" i="1"/>
  <c r="Q1619" i="1"/>
  <c r="Q465" i="1"/>
  <c r="Q1185" i="1"/>
  <c r="Q1149" i="1"/>
  <c r="R1650" i="1"/>
  <c r="R1652" i="1"/>
  <c r="Q1153" i="1"/>
  <c r="Q1613" i="1"/>
  <c r="Q681" i="1"/>
  <c r="Q1065" i="1"/>
  <c r="R936" i="1"/>
  <c r="Q157" i="1"/>
  <c r="N529" i="1" l="1"/>
  <c r="N492" i="1"/>
  <c r="N1062" i="1"/>
  <c r="N585" i="1"/>
  <c r="N430" i="1"/>
  <c r="N926" i="1"/>
  <c r="N918" i="1"/>
  <c r="N916" i="1"/>
  <c r="N915" i="1"/>
  <c r="N911" i="1"/>
  <c r="N910" i="1"/>
  <c r="N415" i="1"/>
  <c r="N404" i="1"/>
  <c r="N398" i="1"/>
  <c r="N397" i="1"/>
  <c r="N396" i="1"/>
  <c r="N392" i="1"/>
  <c r="N386" i="1"/>
  <c r="N385" i="1"/>
  <c r="N383" i="1"/>
  <c r="N367" i="1"/>
  <c r="N361" i="1"/>
  <c r="N360" i="1"/>
  <c r="N358" i="1"/>
  <c r="N353" i="1"/>
  <c r="N340" i="1"/>
  <c r="N336" i="1"/>
  <c r="N334" i="1"/>
  <c r="N327" i="1"/>
  <c r="N318" i="1"/>
  <c r="N304" i="1"/>
  <c r="N302" i="1"/>
  <c r="N294" i="1"/>
  <c r="N287" i="1"/>
  <c r="N284" i="1"/>
  <c r="N283" i="1"/>
  <c r="N282" i="1"/>
  <c r="N279" i="1"/>
  <c r="N274" i="1"/>
  <c r="N271" i="1"/>
  <c r="N269" i="1"/>
  <c r="N267" i="1"/>
  <c r="N265" i="1"/>
  <c r="N264" i="1"/>
  <c r="N261" i="1"/>
  <c r="N260" i="1"/>
  <c r="N258" i="1"/>
  <c r="N256" i="1"/>
  <c r="N254" i="1"/>
  <c r="N253" i="1"/>
  <c r="N252" i="1"/>
  <c r="N250" i="1"/>
  <c r="N247" i="1"/>
  <c r="N246" i="1"/>
  <c r="N243" i="1"/>
  <c r="N242" i="1"/>
  <c r="N241" i="1"/>
  <c r="N238" i="1"/>
  <c r="N237" i="1"/>
  <c r="N236" i="1"/>
  <c r="N231" i="1"/>
  <c r="N230" i="1"/>
  <c r="N227" i="1"/>
  <c r="N108" i="1"/>
  <c r="N107" i="1"/>
  <c r="N23" i="1"/>
  <c r="N18" i="1"/>
  <c r="N1339" i="1"/>
  <c r="N1239" i="1"/>
  <c r="N1238" i="1"/>
  <c r="N1237" i="1"/>
  <c r="N1236" i="1"/>
  <c r="N1234" i="1"/>
  <c r="N1227" i="1"/>
  <c r="N1222" i="1"/>
  <c r="N1220" i="1"/>
  <c r="N1208" i="1"/>
  <c r="N1204" i="1"/>
  <c r="N1199" i="1"/>
  <c r="N1184" i="1"/>
  <c r="N1183" i="1"/>
  <c r="N1145" i="1"/>
  <c r="N1140" i="1"/>
  <c r="N1131" i="1"/>
  <c r="N1129" i="1"/>
  <c r="N1121" i="1"/>
  <c r="N1120" i="1"/>
  <c r="N1119" i="1"/>
  <c r="N1118" i="1"/>
  <c r="N1111" i="1"/>
  <c r="N1095" i="1"/>
  <c r="N1092" i="1"/>
  <c r="N1091" i="1"/>
  <c r="N1090" i="1"/>
  <c r="N1086" i="1"/>
  <c r="N1069" i="1"/>
  <c r="N1066" i="1"/>
  <c r="N1063" i="1"/>
  <c r="N1056" i="1"/>
  <c r="N1042" i="1"/>
  <c r="N1032" i="1"/>
  <c r="N1031" i="1"/>
  <c r="N1030" i="1"/>
  <c r="N999" i="1"/>
  <c r="N993" i="1"/>
  <c r="N966" i="1"/>
  <c r="N964" i="1"/>
  <c r="N950" i="1"/>
  <c r="N947" i="1"/>
  <c r="N1243" i="1"/>
  <c r="N1242" i="1"/>
  <c r="N1240" i="1"/>
  <c r="N1235" i="1"/>
  <c r="N1232" i="1"/>
  <c r="N1228" i="1"/>
  <c r="N1226" i="1"/>
  <c r="N1225" i="1"/>
  <c r="N1224" i="1"/>
  <c r="N1223" i="1"/>
  <c r="N1221" i="1"/>
  <c r="N1219" i="1"/>
  <c r="N1218" i="1"/>
  <c r="N1197" i="1"/>
  <c r="N1182" i="1"/>
  <c r="N1181" i="1"/>
  <c r="N1179" i="1"/>
  <c r="N1146" i="1"/>
  <c r="N1139" i="1"/>
  <c r="N1128" i="1"/>
  <c r="N1127" i="1"/>
  <c r="N1117" i="1"/>
  <c r="N1115" i="1"/>
  <c r="N1114" i="1"/>
  <c r="N1113" i="1"/>
  <c r="N1112" i="1"/>
  <c r="N1110" i="1"/>
  <c r="N1094" i="1"/>
  <c r="N1093" i="1"/>
  <c r="N1089" i="1"/>
  <c r="N1087" i="1"/>
  <c r="N1085" i="1"/>
  <c r="N1084" i="1"/>
  <c r="N1071" i="1"/>
  <c r="N1064" i="1"/>
  <c r="N1059" i="1"/>
  <c r="N1004" i="1"/>
  <c r="N1000" i="1"/>
  <c r="N962" i="1"/>
  <c r="N949" i="1"/>
  <c r="N948" i="1"/>
  <c r="N932" i="1"/>
  <c r="N930" i="1"/>
  <c r="N928" i="1"/>
  <c r="N927" i="1"/>
  <c r="N925" i="1"/>
  <c r="N924" i="1"/>
  <c r="N923" i="1"/>
  <c r="N922" i="1"/>
  <c r="N917" i="1"/>
  <c r="N914" i="1"/>
  <c r="N913" i="1"/>
  <c r="N912" i="1"/>
  <c r="N422" i="1"/>
  <c r="N420" i="1"/>
  <c r="N414" i="1"/>
  <c r="N408" i="1"/>
  <c r="N400" i="1"/>
  <c r="N391" i="1"/>
  <c r="N388" i="1"/>
  <c r="N387" i="1"/>
  <c r="N384" i="1"/>
  <c r="N382" i="1"/>
  <c r="N380" i="1"/>
  <c r="N362" i="1"/>
  <c r="N359" i="1"/>
  <c r="N357" i="1"/>
  <c r="N356" i="1"/>
  <c r="N354" i="1"/>
  <c r="N350" i="1"/>
  <c r="N347" i="1"/>
  <c r="N346" i="1"/>
  <c r="N325" i="1"/>
  <c r="N324" i="1"/>
  <c r="N300" i="1"/>
  <c r="N292" i="1"/>
  <c r="N285" i="1"/>
  <c r="N280" i="1"/>
  <c r="N278" i="1"/>
  <c r="N273" i="1"/>
  <c r="N268" i="1"/>
  <c r="N266" i="1"/>
  <c r="N263" i="1"/>
  <c r="N240" i="1"/>
  <c r="N233" i="1"/>
  <c r="N229" i="1"/>
  <c r="N225" i="1"/>
  <c r="N127" i="1"/>
  <c r="N124" i="1"/>
  <c r="N106" i="1"/>
  <c r="N80" i="1"/>
  <c r="N74" i="1"/>
  <c r="N68" i="1"/>
  <c r="N67" i="1"/>
  <c r="N49" i="1"/>
  <c r="N48" i="1"/>
  <c r="N46" i="1"/>
  <c r="N41" i="1"/>
  <c r="N31" i="1"/>
  <c r="N29" i="1"/>
  <c r="N28" i="1"/>
  <c r="N27" i="1"/>
  <c r="N24" i="1"/>
  <c r="N17" i="1"/>
  <c r="N15" i="1"/>
  <c r="N1233" i="1"/>
  <c r="N1209" i="1"/>
  <c r="N1132" i="1"/>
  <c r="N1116" i="1"/>
  <c r="N1073" i="1"/>
  <c r="N1072" i="1"/>
  <c r="N1070" i="1"/>
  <c r="N1057" i="1"/>
  <c r="N1051" i="1"/>
  <c r="N1050" i="1"/>
  <c r="N1049" i="1"/>
  <c r="N1044" i="1"/>
  <c r="N1043" i="1"/>
  <c r="N1023" i="1"/>
  <c r="N1022" i="1"/>
  <c r="N953" i="1"/>
  <c r="N951" i="1"/>
  <c r="N929" i="1"/>
  <c r="N369" i="1"/>
  <c r="N301" i="1"/>
  <c r="N92" i="1"/>
  <c r="N54" i="1"/>
  <c r="N47" i="1"/>
  <c r="N40" i="1"/>
  <c r="N39" i="1"/>
  <c r="N38" i="1"/>
  <c r="N36" i="1"/>
  <c r="N32" i="1"/>
  <c r="N30" i="1"/>
  <c r="N13" i="1"/>
  <c r="N1036" i="1"/>
  <c r="N998" i="1"/>
  <c r="N1207" i="1"/>
  <c r="N1130" i="1"/>
  <c r="N59" i="1"/>
  <c r="N45" i="1"/>
  <c r="N1144" i="1"/>
  <c r="N1067" i="1"/>
  <c r="N985" i="1"/>
  <c r="N974" i="1"/>
  <c r="N421" i="1"/>
  <c r="N416" i="1"/>
  <c r="N413" i="1"/>
  <c r="N412" i="1"/>
  <c r="N403" i="1"/>
  <c r="N390" i="1"/>
  <c r="N349" i="1"/>
  <c r="N326" i="1"/>
  <c r="N323" i="1"/>
  <c r="N281" i="1"/>
  <c r="N262" i="1"/>
  <c r="N255" i="1"/>
  <c r="N251" i="1"/>
  <c r="N245" i="1"/>
  <c r="N239" i="1"/>
  <c r="N235" i="1"/>
  <c r="N1061" i="1"/>
  <c r="N1744" i="1"/>
  <c r="N1638" i="1"/>
  <c r="N1632" i="1"/>
  <c r="N1604" i="1"/>
  <c r="N1322" i="1"/>
  <c r="N1211" i="1"/>
  <c r="N1192" i="1"/>
  <c r="N1133" i="1"/>
  <c r="N1078" i="1"/>
  <c r="N1060" i="1"/>
  <c r="N1038" i="1"/>
  <c r="N1029" i="1"/>
  <c r="N1028" i="1"/>
  <c r="N1026" i="1"/>
  <c r="N992" i="1"/>
  <c r="N987" i="1"/>
  <c r="N982" i="1"/>
  <c r="N979" i="1"/>
  <c r="N978" i="1"/>
  <c r="N971" i="1"/>
  <c r="N957" i="1"/>
  <c r="N939" i="1"/>
  <c r="N885" i="1"/>
  <c r="N881" i="1"/>
  <c r="N869" i="1"/>
  <c r="N868" i="1"/>
  <c r="N865" i="1"/>
  <c r="N861" i="1"/>
  <c r="N845" i="1"/>
  <c r="N837" i="1"/>
  <c r="N834" i="1"/>
  <c r="N820" i="1"/>
  <c r="N816" i="1"/>
  <c r="N803" i="1"/>
  <c r="N792" i="1"/>
  <c r="N782" i="1"/>
  <c r="N738" i="1"/>
  <c r="N731" i="1"/>
  <c r="N710" i="1"/>
  <c r="N699" i="1"/>
  <c r="N693" i="1"/>
  <c r="N687" i="1"/>
  <c r="N680" i="1"/>
  <c r="N678" i="1"/>
  <c r="N676" i="1"/>
  <c r="N674" i="1"/>
  <c r="N672" i="1"/>
  <c r="N671" i="1"/>
  <c r="N666" i="1"/>
  <c r="N665" i="1"/>
  <c r="N664" i="1"/>
  <c r="N658" i="1"/>
  <c r="N657" i="1"/>
  <c r="N648" i="1"/>
  <c r="N601" i="1"/>
  <c r="N593" i="1"/>
  <c r="N590" i="1"/>
  <c r="N580" i="1"/>
  <c r="N579" i="1"/>
  <c r="N578" i="1"/>
  <c r="N577" i="1"/>
  <c r="N576" i="1"/>
  <c r="N575" i="1"/>
  <c r="N561" i="1"/>
  <c r="N557" i="1"/>
  <c r="N545" i="1"/>
  <c r="N542" i="1"/>
  <c r="N539" i="1"/>
  <c r="N536" i="1"/>
  <c r="N532" i="1"/>
  <c r="N499" i="1"/>
  <c r="N498" i="1"/>
  <c r="N497" i="1"/>
  <c r="N491" i="1"/>
  <c r="N490" i="1"/>
  <c r="N487" i="1"/>
  <c r="N485" i="1"/>
  <c r="N483" i="1"/>
  <c r="N482" i="1"/>
  <c r="N467" i="1"/>
  <c r="N466" i="1"/>
  <c r="N450" i="1"/>
  <c r="N445" i="1"/>
  <c r="N443" i="1"/>
  <c r="N439" i="1"/>
  <c r="N434" i="1"/>
  <c r="N432" i="1"/>
  <c r="N210" i="1"/>
  <c r="N204" i="1"/>
  <c r="N201" i="1"/>
  <c r="N197" i="1"/>
  <c r="N193" i="1"/>
  <c r="N192" i="1"/>
  <c r="N190" i="1"/>
  <c r="N188" i="1"/>
  <c r="N187" i="1"/>
  <c r="N186" i="1"/>
  <c r="N1607" i="1"/>
  <c r="N1577" i="1"/>
  <c r="N1572" i="1"/>
  <c r="N1538" i="1"/>
  <c r="N1491" i="1"/>
  <c r="N1478" i="1"/>
  <c r="N1347" i="1"/>
  <c r="N1340" i="1"/>
  <c r="N1295" i="1"/>
  <c r="N1229" i="1"/>
  <c r="N1196" i="1"/>
  <c r="N1195" i="1"/>
  <c r="N1186" i="1"/>
  <c r="N1143" i="1"/>
  <c r="N1108" i="1"/>
  <c r="N1106" i="1"/>
  <c r="N1082" i="1"/>
  <c r="N1081" i="1"/>
  <c r="N1075" i="1"/>
  <c r="N960" i="1"/>
  <c r="N958" i="1"/>
  <c r="N940" i="1"/>
  <c r="N907" i="1"/>
  <c r="N899" i="1"/>
  <c r="N864" i="1"/>
  <c r="N860" i="1"/>
  <c r="N859" i="1"/>
  <c r="N858" i="1"/>
  <c r="N815" i="1"/>
  <c r="N814" i="1"/>
  <c r="N813" i="1"/>
  <c r="N811" i="1"/>
  <c r="N788" i="1"/>
  <c r="N778" i="1"/>
  <c r="N765" i="1"/>
  <c r="N751" i="1"/>
  <c r="N750" i="1"/>
  <c r="N742" i="1"/>
  <c r="N734" i="1"/>
  <c r="N732" i="1"/>
  <c r="N715" i="1"/>
  <c r="N681" i="1"/>
  <c r="N669" i="1"/>
  <c r="N663" i="1"/>
  <c r="N643" i="1"/>
  <c r="N642" i="1"/>
  <c r="N605" i="1"/>
  <c r="N598" i="1"/>
  <c r="N592" i="1"/>
  <c r="N588" i="1"/>
  <c r="N586" i="1"/>
  <c r="N581" i="1"/>
  <c r="N534" i="1"/>
  <c r="N522" i="1"/>
  <c r="N506" i="1"/>
  <c r="N501" i="1"/>
  <c r="N488" i="1"/>
  <c r="N486" i="1"/>
  <c r="N484" i="1"/>
  <c r="N477" i="1"/>
  <c r="N476" i="1"/>
  <c r="N475" i="1"/>
  <c r="N444" i="1"/>
  <c r="N441" i="1"/>
  <c r="N440" i="1"/>
  <c r="N438" i="1"/>
  <c r="N435" i="1"/>
  <c r="N433" i="1"/>
  <c r="N220" i="1"/>
  <c r="N219" i="1"/>
  <c r="N218" i="1"/>
  <c r="N217" i="1"/>
  <c r="N216" i="1"/>
  <c r="N215" i="1"/>
  <c r="N211" i="1"/>
  <c r="N209" i="1"/>
  <c r="N208" i="1"/>
  <c r="N206" i="1"/>
  <c r="N200" i="1"/>
  <c r="N199" i="1"/>
  <c r="N198" i="1"/>
  <c r="N194" i="1"/>
  <c r="N191" i="1"/>
  <c r="N185" i="1"/>
  <c r="N137" i="1"/>
  <c r="N1576" i="1"/>
  <c r="N1217" i="1"/>
  <c r="N1189" i="1"/>
  <c r="N1141" i="1"/>
  <c r="N1076" i="1"/>
  <c r="N1065" i="1"/>
  <c r="N1041" i="1"/>
  <c r="N1040" i="1"/>
  <c r="N1039" i="1"/>
  <c r="N1033" i="1"/>
  <c r="N997" i="1"/>
  <c r="N991" i="1"/>
  <c r="N972" i="1"/>
  <c r="N970" i="1"/>
  <c r="N968" i="1"/>
  <c r="N920" i="1"/>
  <c r="N919" i="1"/>
  <c r="N906" i="1"/>
  <c r="N902" i="1"/>
  <c r="N897" i="1"/>
  <c r="N879" i="1"/>
  <c r="N874" i="1"/>
  <c r="N871" i="1"/>
  <c r="N852" i="1"/>
  <c r="N850" i="1"/>
  <c r="N849" i="1"/>
  <c r="N832" i="1"/>
  <c r="N829" i="1"/>
  <c r="N806" i="1"/>
  <c r="N805" i="1"/>
  <c r="N804" i="1"/>
  <c r="N794" i="1"/>
  <c r="N793" i="1"/>
  <c r="N791" i="1"/>
  <c r="N787" i="1"/>
  <c r="N786" i="1"/>
  <c r="N781" i="1"/>
  <c r="N753" i="1"/>
  <c r="N747" i="1"/>
  <c r="N721" i="1"/>
  <c r="N719" i="1"/>
  <c r="N559" i="1"/>
  <c r="N547" i="1"/>
  <c r="N709" i="1"/>
  <c r="N691" i="1"/>
  <c r="N568" i="1"/>
  <c r="N550" i="1"/>
  <c r="N1622" i="1"/>
  <c r="N1621" i="1"/>
  <c r="N214" i="1"/>
  <c r="N1544" i="1"/>
  <c r="N1378" i="1"/>
  <c r="N1216" i="1"/>
  <c r="N1213" i="1"/>
  <c r="N1138" i="1"/>
  <c r="N1135" i="1"/>
  <c r="N1035" i="1"/>
  <c r="N984" i="1"/>
  <c r="N724" i="1"/>
  <c r="N722" i="1"/>
  <c r="N525" i="1"/>
  <c r="N524" i="1"/>
  <c r="N670" i="1"/>
  <c r="N442" i="1"/>
  <c r="N1231" i="1"/>
  <c r="N1230" i="1"/>
  <c r="N1107" i="1"/>
  <c r="N1027" i="1"/>
  <c r="N1005" i="1"/>
  <c r="N996" i="1"/>
  <c r="N609" i="1"/>
  <c r="N213" i="1"/>
  <c r="N212" i="1"/>
  <c r="N196" i="1"/>
  <c r="N195" i="1"/>
  <c r="N189" i="1"/>
  <c r="N184" i="1"/>
  <c r="N961" i="1"/>
  <c r="N921" i="1"/>
  <c r="N789" i="1"/>
  <c r="N779" i="1"/>
  <c r="N723" i="1"/>
  <c r="N228" i="1"/>
  <c r="N749" i="1"/>
  <c r="N679" i="1"/>
  <c r="N523" i="1"/>
  <c r="N1321" i="1"/>
  <c r="N1300" i="1"/>
  <c r="N1299" i="1"/>
  <c r="N1253" i="1"/>
  <c r="N1252" i="1"/>
  <c r="S1534" i="1"/>
  <c r="S1608" i="1"/>
  <c r="Q1272" i="1"/>
  <c r="Q809" i="1" l="1"/>
  <c r="Q1468" i="1"/>
  <c r="Q154" i="1"/>
  <c r="Q213" i="1"/>
  <c r="Q719" i="1"/>
  <c r="Q976" i="1"/>
  <c r="Q175" i="1"/>
  <c r="Q595" i="1"/>
  <c r="Q877" i="1"/>
  <c r="Q164" i="1"/>
  <c r="Q1603" i="1"/>
  <c r="Q408" i="1"/>
  <c r="Q96" i="1"/>
  <c r="Q1154" i="1"/>
  <c r="Q1167" i="1"/>
  <c r="Q1376" i="1"/>
  <c r="Q133" i="1"/>
  <c r="Q1640" i="1"/>
  <c r="Q1155" i="1"/>
  <c r="Q1406" i="1"/>
  <c r="Q1362" i="1"/>
  <c r="Q1452" i="1"/>
  <c r="Q1148" i="1"/>
  <c r="Q1555" i="1"/>
  <c r="Q1309" i="1" l="1"/>
  <c r="Q289" i="1"/>
  <c r="Q525" i="1"/>
  <c r="Q277" i="1"/>
  <c r="Q266" i="1"/>
  <c r="Q1524" i="1"/>
  <c r="Q429" i="1"/>
  <c r="Q1137" i="1"/>
  <c r="Q1255" i="1"/>
  <c r="Q299" i="1"/>
  <c r="Q374" i="1"/>
  <c r="Q788" i="1"/>
  <c r="Q782" i="1"/>
  <c r="Q796" i="1"/>
  <c r="Q1156" i="1"/>
  <c r="Q903" i="1"/>
  <c r="Q1141" i="1"/>
  <c r="Q481" i="1"/>
  <c r="Q1163" i="1"/>
  <c r="Q960" i="1"/>
  <c r="Q526" i="1"/>
  <c r="Q1150" i="1"/>
  <c r="Q449" i="1"/>
  <c r="Q1266" i="1"/>
  <c r="Q54" i="1"/>
  <c r="Q1567" i="1"/>
  <c r="Q294" i="1"/>
  <c r="Q451" i="1"/>
  <c r="Q585" i="1"/>
  <c r="Q112" i="1"/>
  <c r="Q1532" i="1"/>
  <c r="Q1249" i="1"/>
  <c r="Q1400" i="1"/>
  <c r="Q276" i="1"/>
  <c r="Q24" i="1"/>
  <c r="Q328" i="1"/>
  <c r="Q220" i="1"/>
  <c r="Q330" i="1"/>
  <c r="Q665" i="1"/>
  <c r="Q536" i="1"/>
  <c r="Q735" i="1"/>
  <c r="Q742" i="1"/>
  <c r="Q781" i="1"/>
  <c r="Q791" i="1"/>
  <c r="Q272" i="1"/>
  <c r="Q438" i="1" l="1"/>
  <c r="Q184" i="1"/>
  <c r="Q851" i="1"/>
  <c r="Q297" i="1"/>
  <c r="Q376" i="1"/>
  <c r="S1652" i="1"/>
  <c r="Q459" i="1"/>
  <c r="Q312" i="1"/>
  <c r="Q338" i="1"/>
  <c r="Q1479" i="1"/>
  <c r="Q1544" i="1"/>
  <c r="Q99" i="1"/>
  <c r="Q1349" i="1"/>
  <c r="Q1420" i="1"/>
  <c r="Q378" i="1"/>
  <c r="Q1160" i="1"/>
  <c r="Q1125" i="1"/>
  <c r="Q1161" i="1"/>
  <c r="Q861" i="1"/>
  <c r="Q876" i="1"/>
  <c r="Q1320" i="1"/>
  <c r="Q337" i="1"/>
  <c r="Q1295" i="1"/>
  <c r="Q168" i="1"/>
  <c r="Q174" i="1"/>
  <c r="Q41" i="1"/>
  <c r="Q725" i="1"/>
  <c r="Q790" i="1"/>
  <c r="Q1474" i="1"/>
  <c r="Q286" i="1"/>
  <c r="Q161" i="1" l="1"/>
  <c r="Q1585" i="1"/>
  <c r="Q833" i="1"/>
  <c r="Q1425" i="1" l="1"/>
  <c r="L1559" i="1"/>
  <c r="Q1395" i="1"/>
  <c r="Q1578" i="1"/>
  <c r="Q47" i="1"/>
  <c r="Q1326" i="1"/>
  <c r="Q53" i="1"/>
  <c r="Q430" i="1"/>
  <c r="Q830" i="1"/>
  <c r="Q728" i="1"/>
  <c r="Q1366" i="1"/>
  <c r="Q1166" i="1"/>
  <c r="Q58" i="1"/>
  <c r="Q353" i="1"/>
  <c r="R1272" i="1" l="1"/>
  <c r="S1272" i="1" s="1"/>
  <c r="Q1316" i="1"/>
  <c r="Q1277" i="1"/>
  <c r="Q795" i="1"/>
  <c r="Q675" i="1"/>
  <c r="Q969" i="1"/>
  <c r="Q968" i="1"/>
  <c r="Q377" i="1"/>
  <c r="Q1633" i="1"/>
  <c r="Q649" i="1"/>
  <c r="Q1548" i="1"/>
  <c r="Q729" i="1"/>
  <c r="Q322" i="1"/>
  <c r="Q218" i="1" l="1"/>
  <c r="Q1549" i="1"/>
  <c r="Q499" i="1"/>
  <c r="Q1136" i="1"/>
  <c r="Q1654" i="1"/>
  <c r="Q173" i="1"/>
  <c r="Q995" i="1"/>
  <c r="Q1257" i="1"/>
  <c r="Q398" i="1"/>
  <c r="Q254" i="1"/>
  <c r="Q1628" i="1"/>
  <c r="Q1509" i="1" l="1"/>
  <c r="Q1380" i="1"/>
  <c r="Q847" i="1"/>
  <c r="Q1639" i="1"/>
  <c r="Q659" i="1"/>
  <c r="Q747" i="1"/>
  <c r="Q1388" i="1"/>
  <c r="Q835" i="1"/>
  <c r="Q1346" i="1"/>
  <c r="Q178" i="1"/>
  <c r="Q1455" i="1"/>
  <c r="Q411" i="1"/>
  <c r="Q1495" i="1"/>
  <c r="Q965" i="1"/>
  <c r="Q1342" i="1"/>
  <c r="Q756" i="1"/>
  <c r="Q722" i="1"/>
  <c r="Q1164" i="1"/>
  <c r="Q540" i="1"/>
  <c r="Q713" i="1"/>
  <c r="Q1361" i="1"/>
  <c r="Q321" i="1"/>
  <c r="Q130" i="1"/>
  <c r="Q642" i="1"/>
  <c r="Q356" i="1"/>
  <c r="Q803" i="1"/>
  <c r="Q588" i="1"/>
  <c r="Q139" i="1"/>
  <c r="Q1529" i="1"/>
  <c r="Q1576" i="1"/>
  <c r="Q572" i="1"/>
  <c r="Q38" i="1" l="1"/>
  <c r="Q66" i="1"/>
  <c r="Q724" i="1"/>
  <c r="Q862" i="1"/>
  <c r="Q1138" i="1"/>
  <c r="Q1259" i="1"/>
  <c r="Q1547" i="1"/>
  <c r="Q1343" i="1"/>
  <c r="Q1441" i="1"/>
  <c r="Q1341" i="1"/>
  <c r="Q409" i="1"/>
  <c r="Q348" i="1"/>
  <c r="Q122" i="1"/>
  <c r="Q247" i="1"/>
  <c r="Q460" i="1"/>
  <c r="Q87" i="1"/>
  <c r="Q78" i="1"/>
  <c r="Q209" i="1"/>
  <c r="R1915" i="1" l="1"/>
  <c r="S1915" i="1" s="1"/>
  <c r="R1916" i="1"/>
  <c r="S1916" i="1" s="1"/>
  <c r="R1917" i="1"/>
  <c r="S1917" i="1" s="1"/>
  <c r="R1918" i="1"/>
  <c r="S1918" i="1" s="1"/>
  <c r="R1919" i="1"/>
  <c r="S1919" i="1" s="1"/>
  <c r="R1920" i="1"/>
  <c r="S1920" i="1" s="1"/>
  <c r="R1921" i="1"/>
  <c r="S1921" i="1" s="1"/>
  <c r="R1922" i="1"/>
  <c r="S1922" i="1" s="1"/>
  <c r="R1923" i="1"/>
  <c r="S1923" i="1" s="1"/>
  <c r="R1924" i="1"/>
  <c r="S1924" i="1" s="1"/>
  <c r="R1925" i="1"/>
  <c r="S1925" i="1" s="1"/>
  <c r="R1926" i="1"/>
  <c r="S1926" i="1" s="1"/>
  <c r="R1927" i="1"/>
  <c r="S1927" i="1" s="1"/>
  <c r="R1914" i="1"/>
  <c r="S1914" i="1" s="1"/>
  <c r="R1716" i="1"/>
  <c r="S1716" i="1" s="1"/>
  <c r="R1717" i="1"/>
  <c r="R1718" i="1"/>
  <c r="S1718" i="1" s="1"/>
  <c r="R1719" i="1"/>
  <c r="S1719" i="1" s="1"/>
  <c r="R1720" i="1"/>
  <c r="S1720" i="1" s="1"/>
  <c r="R1721" i="1"/>
  <c r="S1721" i="1" s="1"/>
  <c r="R1722" i="1"/>
  <c r="S1722" i="1" s="1"/>
  <c r="R1723" i="1"/>
  <c r="S1723" i="1" s="1"/>
  <c r="R1724" i="1"/>
  <c r="S1724" i="1" s="1"/>
  <c r="R1725" i="1"/>
  <c r="S1725" i="1" s="1"/>
  <c r="R1726" i="1"/>
  <c r="S1726" i="1" s="1"/>
  <c r="R1727" i="1"/>
  <c r="S1727" i="1" s="1"/>
  <c r="R1728" i="1"/>
  <c r="S1728" i="1" s="1"/>
  <c r="R1729" i="1"/>
  <c r="R1730" i="1"/>
  <c r="S1730" i="1" s="1"/>
  <c r="R1731" i="1"/>
  <c r="S1731" i="1" s="1"/>
  <c r="R1732" i="1"/>
  <c r="S1732" i="1" s="1"/>
  <c r="R1733" i="1"/>
  <c r="S1733" i="1" s="1"/>
  <c r="R1734" i="1"/>
  <c r="S1734" i="1" s="1"/>
  <c r="R1735" i="1"/>
  <c r="S1735" i="1" s="1"/>
  <c r="R1736" i="1"/>
  <c r="S1736" i="1" s="1"/>
  <c r="R1737" i="1"/>
  <c r="S1737" i="1" s="1"/>
  <c r="R1738" i="1"/>
  <c r="S1738" i="1" s="1"/>
  <c r="R1739" i="1"/>
  <c r="S1739" i="1" s="1"/>
  <c r="R1740" i="1"/>
  <c r="S1740" i="1" s="1"/>
  <c r="R1741" i="1"/>
  <c r="S1741" i="1" s="1"/>
  <c r="R1742" i="1"/>
  <c r="S1742" i="1" s="1"/>
  <c r="R1743" i="1"/>
  <c r="S1743" i="1" s="1"/>
  <c r="R1744" i="1"/>
  <c r="S1744" i="1" s="1"/>
  <c r="R1745" i="1"/>
  <c r="R1746" i="1"/>
  <c r="S1746" i="1" s="1"/>
  <c r="R1747" i="1"/>
  <c r="S1747" i="1" s="1"/>
  <c r="R1748" i="1"/>
  <c r="S1748" i="1" s="1"/>
  <c r="R1749" i="1"/>
  <c r="S1749" i="1" s="1"/>
  <c r="R1750" i="1"/>
  <c r="S1750" i="1" s="1"/>
  <c r="R1751" i="1"/>
  <c r="S1751" i="1" s="1"/>
  <c r="R1752" i="1"/>
  <c r="S1752" i="1" s="1"/>
  <c r="R1753" i="1"/>
  <c r="S1753" i="1" s="1"/>
  <c r="R1754" i="1"/>
  <c r="S1754" i="1" s="1"/>
  <c r="R1755" i="1"/>
  <c r="S1755" i="1" s="1"/>
  <c r="R1756" i="1"/>
  <c r="S1756" i="1" s="1"/>
  <c r="R1757" i="1"/>
  <c r="S1757" i="1" s="1"/>
  <c r="R1758" i="1"/>
  <c r="S1758" i="1" s="1"/>
  <c r="R1759" i="1"/>
  <c r="R1760" i="1"/>
  <c r="S1760" i="1" s="1"/>
  <c r="R1761" i="1"/>
  <c r="S1761" i="1" s="1"/>
  <c r="R1762" i="1"/>
  <c r="S1762" i="1" s="1"/>
  <c r="R1763" i="1"/>
  <c r="S1763" i="1" s="1"/>
  <c r="R1764" i="1"/>
  <c r="S1764" i="1" s="1"/>
  <c r="R1765" i="1"/>
  <c r="S1765" i="1" s="1"/>
  <c r="R1766" i="1"/>
  <c r="R1767" i="1"/>
  <c r="S1767" i="1" s="1"/>
  <c r="R1768" i="1"/>
  <c r="S1768" i="1" s="1"/>
  <c r="R1769" i="1"/>
  <c r="S1769" i="1" s="1"/>
  <c r="R1770" i="1"/>
  <c r="S1770" i="1" s="1"/>
  <c r="R1771" i="1"/>
  <c r="S1771" i="1" s="1"/>
  <c r="R1772" i="1"/>
  <c r="S1772" i="1" s="1"/>
  <c r="R1773" i="1"/>
  <c r="S1773" i="1" s="1"/>
  <c r="R1774" i="1"/>
  <c r="S1774" i="1" s="1"/>
  <c r="R1775" i="1"/>
  <c r="S1775" i="1" s="1"/>
  <c r="R1776" i="1"/>
  <c r="S1776" i="1" s="1"/>
  <c r="R1777" i="1"/>
  <c r="S1777" i="1" s="1"/>
  <c r="R1778" i="1"/>
  <c r="S1778" i="1" s="1"/>
  <c r="R1779" i="1"/>
  <c r="S1779" i="1" s="1"/>
  <c r="R1780" i="1"/>
  <c r="S1780" i="1" s="1"/>
  <c r="R1781" i="1"/>
  <c r="R1782" i="1"/>
  <c r="S1782" i="1" s="1"/>
  <c r="R1783" i="1"/>
  <c r="S1783" i="1" s="1"/>
  <c r="R1784" i="1"/>
  <c r="R1785" i="1"/>
  <c r="S1785" i="1" s="1"/>
  <c r="R1786" i="1"/>
  <c r="S1786" i="1" s="1"/>
  <c r="R1787" i="1"/>
  <c r="S1787" i="1" s="1"/>
  <c r="R1788" i="1"/>
  <c r="S1788" i="1" s="1"/>
  <c r="R1789" i="1"/>
  <c r="S1789" i="1" s="1"/>
  <c r="R1790" i="1"/>
  <c r="S1790" i="1" s="1"/>
  <c r="R1791" i="1"/>
  <c r="S1791" i="1" s="1"/>
  <c r="R1792" i="1"/>
  <c r="S1792" i="1" s="1"/>
  <c r="R1793" i="1"/>
  <c r="S1793" i="1" s="1"/>
  <c r="R1794" i="1"/>
  <c r="R1795" i="1"/>
  <c r="R1796" i="1"/>
  <c r="S1796" i="1" s="1"/>
  <c r="R1797" i="1"/>
  <c r="S1797" i="1" s="1"/>
  <c r="R1798" i="1"/>
  <c r="S1798" i="1" s="1"/>
  <c r="R1799" i="1"/>
  <c r="R1800" i="1"/>
  <c r="S1800" i="1" s="1"/>
  <c r="R1801" i="1"/>
  <c r="S1801" i="1" s="1"/>
  <c r="R1802" i="1"/>
  <c r="S1802" i="1" s="1"/>
  <c r="R1803" i="1"/>
  <c r="S1803" i="1" s="1"/>
  <c r="R1804" i="1"/>
  <c r="S1804" i="1" s="1"/>
  <c r="R1805" i="1"/>
  <c r="R1806" i="1"/>
  <c r="S1806" i="1" s="1"/>
  <c r="R1807" i="1"/>
  <c r="S1807" i="1" s="1"/>
  <c r="R1808" i="1"/>
  <c r="S1808" i="1" s="1"/>
  <c r="R1809" i="1"/>
  <c r="S1809" i="1" s="1"/>
  <c r="R1810" i="1"/>
  <c r="S1810" i="1" s="1"/>
  <c r="R1811" i="1"/>
  <c r="S1811" i="1" s="1"/>
  <c r="R1812" i="1"/>
  <c r="S1812" i="1" s="1"/>
  <c r="R1813" i="1"/>
  <c r="S1813" i="1" s="1"/>
  <c r="R1814" i="1"/>
  <c r="S1814" i="1" s="1"/>
  <c r="R1815" i="1"/>
  <c r="S1815" i="1" s="1"/>
  <c r="R1816" i="1"/>
  <c r="S1816" i="1" s="1"/>
  <c r="R1817" i="1"/>
  <c r="S1817" i="1" s="1"/>
  <c r="R1818" i="1"/>
  <c r="S1818" i="1" s="1"/>
  <c r="R1819" i="1"/>
  <c r="S1819" i="1" s="1"/>
  <c r="R1824" i="1"/>
  <c r="S1824" i="1" s="1"/>
  <c r="R1825" i="1"/>
  <c r="S1825" i="1" s="1"/>
  <c r="R1826" i="1"/>
  <c r="S1826" i="1" s="1"/>
  <c r="R1827" i="1"/>
  <c r="S1827" i="1" s="1"/>
  <c r="R1828" i="1"/>
  <c r="S1828" i="1" s="1"/>
  <c r="R1829" i="1"/>
  <c r="S1829" i="1" s="1"/>
  <c r="R1830" i="1"/>
  <c r="S1830" i="1" s="1"/>
  <c r="R1831" i="1"/>
  <c r="S1831" i="1" s="1"/>
  <c r="R1832" i="1"/>
  <c r="S1832" i="1" s="1"/>
  <c r="R1833" i="1"/>
  <c r="S1833" i="1" s="1"/>
  <c r="R1834" i="1"/>
  <c r="S1834" i="1" s="1"/>
  <c r="R1835" i="1"/>
  <c r="S1835" i="1" s="1"/>
  <c r="R1836" i="1"/>
  <c r="S1836" i="1" s="1"/>
  <c r="R1837" i="1"/>
  <c r="S1837" i="1" s="1"/>
  <c r="R1838" i="1"/>
  <c r="S1838" i="1" s="1"/>
  <c r="R1839" i="1"/>
  <c r="S1839" i="1" s="1"/>
  <c r="R1840" i="1"/>
  <c r="S1840" i="1" s="1"/>
  <c r="R1841" i="1"/>
  <c r="S1841" i="1" s="1"/>
  <c r="R1842" i="1"/>
  <c r="S1842" i="1" s="1"/>
  <c r="R1843" i="1"/>
  <c r="S1843" i="1" s="1"/>
  <c r="R1844" i="1"/>
  <c r="S1844" i="1" s="1"/>
  <c r="R1845" i="1"/>
  <c r="S1845" i="1" s="1"/>
  <c r="R1846" i="1"/>
  <c r="S1846" i="1" s="1"/>
  <c r="R1847" i="1"/>
  <c r="S1847" i="1" s="1"/>
  <c r="R1848" i="1"/>
  <c r="S1848" i="1" s="1"/>
  <c r="R1849" i="1"/>
  <c r="S1849" i="1" s="1"/>
  <c r="R1850" i="1"/>
  <c r="S1850" i="1" s="1"/>
  <c r="R1851" i="1"/>
  <c r="S1851" i="1" s="1"/>
  <c r="R1852" i="1"/>
  <c r="R1853" i="1"/>
  <c r="S1853" i="1" s="1"/>
  <c r="R1854" i="1"/>
  <c r="S1854" i="1" s="1"/>
  <c r="R1855" i="1"/>
  <c r="S1855" i="1" s="1"/>
  <c r="R1856" i="1"/>
  <c r="S1856" i="1" s="1"/>
  <c r="R1857" i="1"/>
  <c r="S1857" i="1" s="1"/>
  <c r="R1858" i="1"/>
  <c r="S1858" i="1" s="1"/>
  <c r="R1859" i="1"/>
  <c r="S1859" i="1" s="1"/>
  <c r="R1860" i="1"/>
  <c r="S1860" i="1" s="1"/>
  <c r="R1861" i="1"/>
  <c r="S1861" i="1" s="1"/>
  <c r="R1862" i="1"/>
  <c r="S1862" i="1" s="1"/>
  <c r="R1863" i="1"/>
  <c r="S1863" i="1" s="1"/>
  <c r="R1864" i="1"/>
  <c r="S1864" i="1" s="1"/>
  <c r="R1865" i="1"/>
  <c r="S1865" i="1" s="1"/>
  <c r="R1866" i="1"/>
  <c r="S1866" i="1" s="1"/>
  <c r="R1867" i="1"/>
  <c r="S1867" i="1" s="1"/>
  <c r="R1868" i="1"/>
  <c r="S1868" i="1" s="1"/>
  <c r="R1869" i="1"/>
  <c r="S1869" i="1" s="1"/>
  <c r="R1870" i="1"/>
  <c r="S1870" i="1" s="1"/>
  <c r="R1871" i="1"/>
  <c r="S1871" i="1" s="1"/>
  <c r="R1872" i="1"/>
  <c r="S1872" i="1" s="1"/>
  <c r="R1873" i="1"/>
  <c r="S1873" i="1" s="1"/>
  <c r="R1874" i="1"/>
  <c r="S1874" i="1" s="1"/>
  <c r="R1875" i="1"/>
  <c r="S1875" i="1" s="1"/>
  <c r="R1876" i="1"/>
  <c r="S1876" i="1" s="1"/>
  <c r="R1877" i="1"/>
  <c r="S1877" i="1" s="1"/>
  <c r="R1878" i="1"/>
  <c r="S1878" i="1" s="1"/>
  <c r="R1879" i="1"/>
  <c r="S1879" i="1" s="1"/>
  <c r="R1880" i="1"/>
  <c r="S1880" i="1" s="1"/>
  <c r="R1881" i="1"/>
  <c r="S1881" i="1" s="1"/>
  <c r="R1882" i="1"/>
  <c r="S1882" i="1" s="1"/>
  <c r="R1883" i="1"/>
  <c r="S1883" i="1" s="1"/>
  <c r="R1884" i="1"/>
  <c r="S1884" i="1" s="1"/>
  <c r="R1885" i="1"/>
  <c r="S1885" i="1" s="1"/>
  <c r="R1886" i="1"/>
  <c r="S1886" i="1" s="1"/>
  <c r="R1887" i="1"/>
  <c r="S1887" i="1" s="1"/>
  <c r="R1888" i="1"/>
  <c r="S1888" i="1" s="1"/>
  <c r="R1889" i="1"/>
  <c r="S1889" i="1" s="1"/>
  <c r="R1890" i="1"/>
  <c r="S1890" i="1" s="1"/>
  <c r="R1891" i="1"/>
  <c r="R1892" i="1"/>
  <c r="S1892" i="1" s="1"/>
  <c r="R1893" i="1"/>
  <c r="S1893" i="1" s="1"/>
  <c r="R1894" i="1"/>
  <c r="S1894" i="1" s="1"/>
  <c r="R1895" i="1"/>
  <c r="R1896" i="1"/>
  <c r="S1896" i="1" s="1"/>
  <c r="R1897" i="1"/>
  <c r="S1897" i="1" s="1"/>
  <c r="R1898" i="1"/>
  <c r="S1898" i="1" s="1"/>
  <c r="R1899" i="1"/>
  <c r="S1899" i="1" s="1"/>
  <c r="R1900" i="1"/>
  <c r="S1900" i="1" s="1"/>
  <c r="R1901" i="1"/>
  <c r="S1901" i="1" s="1"/>
  <c r="R1902" i="1"/>
  <c r="S1902" i="1" s="1"/>
  <c r="R1903" i="1"/>
  <c r="S1903" i="1" s="1"/>
  <c r="R1904" i="1"/>
  <c r="S1904" i="1" s="1"/>
  <c r="R1905" i="1"/>
  <c r="S1905" i="1" s="1"/>
  <c r="R1906" i="1"/>
  <c r="S1906" i="1" s="1"/>
  <c r="R1907" i="1"/>
  <c r="S1907" i="1" s="1"/>
  <c r="R1908" i="1"/>
  <c r="R1909" i="1"/>
  <c r="S1909" i="1" s="1"/>
  <c r="R1910" i="1"/>
  <c r="S1910" i="1" s="1"/>
  <c r="R1911" i="1"/>
  <c r="S1911" i="1" s="1"/>
  <c r="R1912" i="1"/>
  <c r="R1715" i="1"/>
  <c r="S1715" i="1" s="1"/>
  <c r="R1660" i="1"/>
  <c r="R1661" i="1"/>
  <c r="S1661" i="1" s="1"/>
  <c r="R1662" i="1"/>
  <c r="S1662" i="1" s="1"/>
  <c r="R1663" i="1"/>
  <c r="S1663" i="1" s="1"/>
  <c r="R1664" i="1"/>
  <c r="S1664" i="1" s="1"/>
  <c r="R1665" i="1"/>
  <c r="S1665" i="1" s="1"/>
  <c r="R1666" i="1"/>
  <c r="S1666" i="1" s="1"/>
  <c r="R1667" i="1"/>
  <c r="S1667" i="1" s="1"/>
  <c r="R1668" i="1"/>
  <c r="S1668" i="1" s="1"/>
  <c r="R1669" i="1"/>
  <c r="S1669" i="1" s="1"/>
  <c r="R1670" i="1"/>
  <c r="S1670" i="1" s="1"/>
  <c r="R1671" i="1"/>
  <c r="S1671" i="1" s="1"/>
  <c r="R1672" i="1"/>
  <c r="S1672" i="1" s="1"/>
  <c r="R1673" i="1"/>
  <c r="S1673" i="1" s="1"/>
  <c r="R1674" i="1"/>
  <c r="S1674" i="1" s="1"/>
  <c r="R1675" i="1"/>
  <c r="S1675" i="1" s="1"/>
  <c r="R1676" i="1"/>
  <c r="S1676" i="1" s="1"/>
  <c r="R1677" i="1"/>
  <c r="S1677" i="1" s="1"/>
  <c r="R1678" i="1"/>
  <c r="S1678" i="1" s="1"/>
  <c r="R1679" i="1"/>
  <c r="S1679" i="1" s="1"/>
  <c r="R1680" i="1"/>
  <c r="S1680" i="1" s="1"/>
  <c r="R1681" i="1"/>
  <c r="S1681" i="1" s="1"/>
  <c r="R1682" i="1"/>
  <c r="S1682" i="1" s="1"/>
  <c r="R1683" i="1"/>
  <c r="S1683" i="1" s="1"/>
  <c r="R1684" i="1"/>
  <c r="S1684" i="1" s="1"/>
  <c r="R1685" i="1"/>
  <c r="S1685" i="1" s="1"/>
  <c r="R1686" i="1"/>
  <c r="S1686" i="1" s="1"/>
  <c r="R1687" i="1"/>
  <c r="S1687" i="1" s="1"/>
  <c r="R1688" i="1"/>
  <c r="S1688" i="1" s="1"/>
  <c r="R1689" i="1"/>
  <c r="S1689" i="1" s="1"/>
  <c r="R1690" i="1"/>
  <c r="S1690" i="1" s="1"/>
  <c r="R1691" i="1"/>
  <c r="S1691" i="1" s="1"/>
  <c r="R1692" i="1"/>
  <c r="S1692" i="1" s="1"/>
  <c r="R1693" i="1"/>
  <c r="S1693" i="1" s="1"/>
  <c r="R1694" i="1"/>
  <c r="S1694" i="1" s="1"/>
  <c r="R1695" i="1"/>
  <c r="S1695" i="1" s="1"/>
  <c r="R1696" i="1"/>
  <c r="S1696" i="1" s="1"/>
  <c r="R1697" i="1"/>
  <c r="S1697" i="1" s="1"/>
  <c r="R1698" i="1"/>
  <c r="S1698" i="1" s="1"/>
  <c r="R1699" i="1"/>
  <c r="S1699" i="1" s="1"/>
  <c r="R1700" i="1"/>
  <c r="S1700" i="1" s="1"/>
  <c r="R1701" i="1"/>
  <c r="S1701" i="1" s="1"/>
  <c r="R1702" i="1"/>
  <c r="S1702" i="1" s="1"/>
  <c r="R1703" i="1"/>
  <c r="S1703" i="1" s="1"/>
  <c r="R1704" i="1"/>
  <c r="S1704" i="1" s="1"/>
  <c r="R1705" i="1"/>
  <c r="S1705" i="1" s="1"/>
  <c r="R1706" i="1"/>
  <c r="S1706" i="1" s="1"/>
  <c r="R1707" i="1"/>
  <c r="S1707" i="1" s="1"/>
  <c r="R1708" i="1"/>
  <c r="S1708" i="1" s="1"/>
  <c r="R1709" i="1"/>
  <c r="S1709" i="1" s="1"/>
  <c r="R1710" i="1"/>
  <c r="S1710" i="1" s="1"/>
  <c r="R1711" i="1"/>
  <c r="S1711" i="1" s="1"/>
  <c r="R1712" i="1"/>
  <c r="S1712" i="1" s="1"/>
  <c r="R1713" i="1"/>
  <c r="S1713" i="1" s="1"/>
  <c r="R1659" i="1"/>
  <c r="R1656" i="1"/>
  <c r="R1644" i="1"/>
  <c r="S1644" i="1" s="1"/>
  <c r="R1645" i="1"/>
  <c r="S1645" i="1" s="1"/>
  <c r="R1646" i="1"/>
  <c r="S1646" i="1" s="1"/>
  <c r="R1647" i="1"/>
  <c r="S1647" i="1" s="1"/>
  <c r="R1648" i="1"/>
  <c r="S1648" i="1" s="1"/>
  <c r="R1649" i="1"/>
  <c r="S1649" i="1" s="1"/>
  <c r="S1650" i="1"/>
  <c r="R1651" i="1"/>
  <c r="S1651" i="1" s="1"/>
  <c r="R1653" i="1"/>
  <c r="S1653" i="1" s="1"/>
  <c r="R1654" i="1"/>
  <c r="S1654" i="1" s="1"/>
  <c r="R1643" i="1"/>
  <c r="S1643" i="1" s="1"/>
  <c r="R1622" i="1"/>
  <c r="S1622" i="1" s="1"/>
  <c r="R1623" i="1"/>
  <c r="S1623" i="1" s="1"/>
  <c r="R1624" i="1"/>
  <c r="S1624" i="1" s="1"/>
  <c r="R1625" i="1"/>
  <c r="S1625" i="1" s="1"/>
  <c r="R1626" i="1"/>
  <c r="S1626" i="1" s="1"/>
  <c r="R1627" i="1"/>
  <c r="S1627" i="1" s="1"/>
  <c r="R1628" i="1"/>
  <c r="S1628" i="1" s="1"/>
  <c r="R1629" i="1"/>
  <c r="S1629" i="1" s="1"/>
  <c r="R1630" i="1"/>
  <c r="S1630" i="1" s="1"/>
  <c r="R1631" i="1"/>
  <c r="S1631" i="1" s="1"/>
  <c r="R1632" i="1"/>
  <c r="S1632" i="1" s="1"/>
  <c r="R1633" i="1"/>
  <c r="S1633" i="1" s="1"/>
  <c r="R1634" i="1"/>
  <c r="S1634" i="1" s="1"/>
  <c r="R1635" i="1"/>
  <c r="S1635" i="1" s="1"/>
  <c r="R1636" i="1"/>
  <c r="S1636" i="1" s="1"/>
  <c r="R1637" i="1"/>
  <c r="S1637" i="1" s="1"/>
  <c r="R1638" i="1"/>
  <c r="S1638" i="1" s="1"/>
  <c r="R1639" i="1"/>
  <c r="S1639" i="1" s="1"/>
  <c r="R1640" i="1"/>
  <c r="S1640" i="1" s="1"/>
  <c r="R1641" i="1"/>
  <c r="S1641" i="1" s="1"/>
  <c r="R1621" i="1"/>
  <c r="S1621" i="1" s="1"/>
  <c r="R1619" i="1"/>
  <c r="S1619" i="1" s="1"/>
  <c r="R1618" i="1"/>
  <c r="S1618" i="1" s="1"/>
  <c r="R1611" i="1"/>
  <c r="S1611" i="1" s="1"/>
  <c r="R1612" i="1"/>
  <c r="S1612" i="1" s="1"/>
  <c r="R1613" i="1"/>
  <c r="S1613" i="1" s="1"/>
  <c r="R1614" i="1"/>
  <c r="S1614" i="1" s="1"/>
  <c r="R1615" i="1"/>
  <c r="S1615" i="1" s="1"/>
  <c r="R1616" i="1"/>
  <c r="S1616" i="1" s="1"/>
  <c r="R1610" i="1"/>
  <c r="S1610" i="1" s="1"/>
  <c r="R1600" i="1"/>
  <c r="S1600" i="1" s="1"/>
  <c r="R1601" i="1"/>
  <c r="S1601" i="1" s="1"/>
  <c r="R1602" i="1"/>
  <c r="S1602" i="1" s="1"/>
  <c r="R1603" i="1"/>
  <c r="S1603" i="1" s="1"/>
  <c r="R1604" i="1"/>
  <c r="S1604" i="1" s="1"/>
  <c r="R1605" i="1"/>
  <c r="S1605" i="1" s="1"/>
  <c r="R1606" i="1"/>
  <c r="S1606" i="1" s="1"/>
  <c r="R1607" i="1"/>
  <c r="S1607" i="1" s="1"/>
  <c r="R1608" i="1"/>
  <c r="R1599" i="1"/>
  <c r="S1599" i="1" s="1"/>
  <c r="R1592" i="1"/>
  <c r="R1593" i="1"/>
  <c r="R1594" i="1"/>
  <c r="S1594" i="1" s="1"/>
  <c r="R1595" i="1"/>
  <c r="S1595" i="1" s="1"/>
  <c r="R1596" i="1"/>
  <c r="S1596" i="1" s="1"/>
  <c r="R1597" i="1"/>
  <c r="S1597" i="1" s="1"/>
  <c r="R1591" i="1"/>
  <c r="S1591" i="1" s="1"/>
  <c r="R1253" i="1"/>
  <c r="S1253" i="1" s="1"/>
  <c r="R1254" i="1"/>
  <c r="S1254" i="1" s="1"/>
  <c r="R1255" i="1"/>
  <c r="S1255" i="1" s="1"/>
  <c r="R1256" i="1"/>
  <c r="S1256" i="1" s="1"/>
  <c r="R1257" i="1"/>
  <c r="S1257" i="1" s="1"/>
  <c r="R1258" i="1"/>
  <c r="R1259" i="1"/>
  <c r="S1259" i="1" s="1"/>
  <c r="R1260" i="1"/>
  <c r="S1260" i="1" s="1"/>
  <c r="R1261" i="1"/>
  <c r="S1261" i="1" s="1"/>
  <c r="R1262" i="1"/>
  <c r="S1262" i="1" s="1"/>
  <c r="R1263" i="1"/>
  <c r="S1263" i="1" s="1"/>
  <c r="R1264" i="1"/>
  <c r="S1264" i="1" s="1"/>
  <c r="R1265" i="1"/>
  <c r="S1265" i="1" s="1"/>
  <c r="R1266" i="1"/>
  <c r="S1266" i="1" s="1"/>
  <c r="R1267" i="1"/>
  <c r="S1267" i="1" s="1"/>
  <c r="R1268" i="1"/>
  <c r="S1268" i="1" s="1"/>
  <c r="R1269" i="1"/>
  <c r="S1269" i="1" s="1"/>
  <c r="R1270" i="1"/>
  <c r="S1270" i="1" s="1"/>
  <c r="R1271" i="1"/>
  <c r="S1271" i="1" s="1"/>
  <c r="R1273" i="1"/>
  <c r="S1273" i="1" s="1"/>
  <c r="R1274" i="1"/>
  <c r="S1274" i="1" s="1"/>
  <c r="R1275" i="1"/>
  <c r="S1275" i="1" s="1"/>
  <c r="R1276" i="1"/>
  <c r="S1276" i="1" s="1"/>
  <c r="R1277" i="1"/>
  <c r="S1277" i="1" s="1"/>
  <c r="R1278" i="1"/>
  <c r="S1278" i="1" s="1"/>
  <c r="R1279" i="1"/>
  <c r="S1279" i="1" s="1"/>
  <c r="R1280" i="1"/>
  <c r="S1280" i="1" s="1"/>
  <c r="R1281" i="1"/>
  <c r="S1281" i="1" s="1"/>
  <c r="R1282" i="1"/>
  <c r="S1282" i="1" s="1"/>
  <c r="R1283" i="1"/>
  <c r="S1283" i="1" s="1"/>
  <c r="R1284" i="1"/>
  <c r="S1284" i="1" s="1"/>
  <c r="R1285" i="1"/>
  <c r="S1285" i="1" s="1"/>
  <c r="R1286" i="1"/>
  <c r="S1286" i="1" s="1"/>
  <c r="R1287" i="1"/>
  <c r="S1287" i="1" s="1"/>
  <c r="R1288" i="1"/>
  <c r="S1288" i="1" s="1"/>
  <c r="R1289" i="1"/>
  <c r="S1289" i="1" s="1"/>
  <c r="R1290" i="1"/>
  <c r="S1290" i="1" s="1"/>
  <c r="R1291" i="1"/>
  <c r="S1291" i="1" s="1"/>
  <c r="R1292" i="1"/>
  <c r="S1292" i="1" s="1"/>
  <c r="R1293" i="1"/>
  <c r="S1293" i="1" s="1"/>
  <c r="R1294" i="1"/>
  <c r="S1294" i="1" s="1"/>
  <c r="R1295" i="1"/>
  <c r="S1295" i="1" s="1"/>
  <c r="R1296" i="1"/>
  <c r="S1296" i="1" s="1"/>
  <c r="R1297" i="1"/>
  <c r="S1297" i="1" s="1"/>
  <c r="R1298" i="1"/>
  <c r="S1298" i="1" s="1"/>
  <c r="R1299" i="1"/>
  <c r="S1299" i="1" s="1"/>
  <c r="R1300" i="1"/>
  <c r="S1300" i="1" s="1"/>
  <c r="R1301" i="1"/>
  <c r="S1301" i="1" s="1"/>
  <c r="R1302" i="1"/>
  <c r="S1302" i="1" s="1"/>
  <c r="R1303" i="1"/>
  <c r="S1303" i="1" s="1"/>
  <c r="R1304" i="1"/>
  <c r="S1304" i="1" s="1"/>
  <c r="R1305" i="1"/>
  <c r="S1305" i="1" s="1"/>
  <c r="R1306" i="1"/>
  <c r="S1306" i="1" s="1"/>
  <c r="R1307" i="1"/>
  <c r="S1307" i="1" s="1"/>
  <c r="R1308" i="1"/>
  <c r="S1308" i="1" s="1"/>
  <c r="R1309" i="1"/>
  <c r="S1309" i="1" s="1"/>
  <c r="R1310" i="1"/>
  <c r="S1310" i="1" s="1"/>
  <c r="R1311" i="1"/>
  <c r="S1311" i="1" s="1"/>
  <c r="R1312" i="1"/>
  <c r="S1312" i="1" s="1"/>
  <c r="R1313" i="1"/>
  <c r="S1313" i="1" s="1"/>
  <c r="R1314" i="1"/>
  <c r="S1314" i="1" s="1"/>
  <c r="R1315" i="1"/>
  <c r="S1315" i="1" s="1"/>
  <c r="R1316" i="1"/>
  <c r="S1316" i="1" s="1"/>
  <c r="R1317" i="1"/>
  <c r="S1317" i="1" s="1"/>
  <c r="R1318" i="1"/>
  <c r="S1318" i="1" s="1"/>
  <c r="R1319" i="1"/>
  <c r="S1319" i="1" s="1"/>
  <c r="R1320" i="1"/>
  <c r="S1320" i="1" s="1"/>
  <c r="R1321" i="1"/>
  <c r="S1321" i="1" s="1"/>
  <c r="R1322" i="1"/>
  <c r="S1322" i="1" s="1"/>
  <c r="R1323" i="1"/>
  <c r="R1324" i="1"/>
  <c r="R1325" i="1"/>
  <c r="R1326" i="1"/>
  <c r="S1326" i="1" s="1"/>
  <c r="R1327" i="1"/>
  <c r="S1327" i="1" s="1"/>
  <c r="R1328" i="1"/>
  <c r="R1329" i="1"/>
  <c r="S1329" i="1" s="1"/>
  <c r="R1330" i="1"/>
  <c r="S1330" i="1" s="1"/>
  <c r="R1331" i="1"/>
  <c r="S1331" i="1" s="1"/>
  <c r="R1332" i="1"/>
  <c r="S1332" i="1" s="1"/>
  <c r="R1333" i="1"/>
  <c r="S1333" i="1" s="1"/>
  <c r="R1334" i="1"/>
  <c r="S1334" i="1" s="1"/>
  <c r="R1335" i="1"/>
  <c r="S1335" i="1" s="1"/>
  <c r="R1336" i="1"/>
  <c r="S1336" i="1" s="1"/>
  <c r="R1337" i="1"/>
  <c r="S1337" i="1" s="1"/>
  <c r="R1338" i="1"/>
  <c r="S1338" i="1" s="1"/>
  <c r="R1339" i="1"/>
  <c r="S1339" i="1" s="1"/>
  <c r="R1340" i="1"/>
  <c r="S1340" i="1" s="1"/>
  <c r="R1341" i="1"/>
  <c r="S1341" i="1" s="1"/>
  <c r="R1342" i="1"/>
  <c r="S1342" i="1" s="1"/>
  <c r="R1343" i="1"/>
  <c r="S1343" i="1" s="1"/>
  <c r="R1344" i="1"/>
  <c r="S1344" i="1" s="1"/>
  <c r="R1345" i="1"/>
  <c r="S1345" i="1" s="1"/>
  <c r="R1346" i="1"/>
  <c r="S1346" i="1" s="1"/>
  <c r="R1347" i="1"/>
  <c r="S1347" i="1" s="1"/>
  <c r="R1348" i="1"/>
  <c r="S1348" i="1" s="1"/>
  <c r="R1349" i="1"/>
  <c r="S1349" i="1" s="1"/>
  <c r="R1350" i="1"/>
  <c r="S1350" i="1" s="1"/>
  <c r="R1351" i="1"/>
  <c r="S1351" i="1" s="1"/>
  <c r="R1352" i="1"/>
  <c r="S1352" i="1" s="1"/>
  <c r="R1353" i="1"/>
  <c r="S1353" i="1" s="1"/>
  <c r="R1354" i="1"/>
  <c r="S1354" i="1" s="1"/>
  <c r="R1355" i="1"/>
  <c r="S1355" i="1" s="1"/>
  <c r="R1356" i="1"/>
  <c r="S1356" i="1" s="1"/>
  <c r="R1357" i="1"/>
  <c r="S1357" i="1" s="1"/>
  <c r="R1358" i="1"/>
  <c r="S1358" i="1" s="1"/>
  <c r="R1359" i="1"/>
  <c r="S1359" i="1" s="1"/>
  <c r="R1360" i="1"/>
  <c r="S1360" i="1" s="1"/>
  <c r="R1361" i="1"/>
  <c r="S1361" i="1" s="1"/>
  <c r="R1362" i="1"/>
  <c r="S1362" i="1" s="1"/>
  <c r="R1363" i="1"/>
  <c r="S1363" i="1" s="1"/>
  <c r="R1364" i="1"/>
  <c r="S1364" i="1" s="1"/>
  <c r="R1365" i="1"/>
  <c r="S1365" i="1" s="1"/>
  <c r="R1366" i="1"/>
  <c r="S1366" i="1" s="1"/>
  <c r="R1367" i="1"/>
  <c r="S1367" i="1" s="1"/>
  <c r="R1368" i="1"/>
  <c r="S1368" i="1" s="1"/>
  <c r="R1369" i="1"/>
  <c r="S1369" i="1" s="1"/>
  <c r="R1370" i="1"/>
  <c r="S1370" i="1" s="1"/>
  <c r="R1371" i="1"/>
  <c r="S1371" i="1" s="1"/>
  <c r="R1372" i="1"/>
  <c r="S1372" i="1" s="1"/>
  <c r="R1373" i="1"/>
  <c r="R1374" i="1"/>
  <c r="S1374" i="1" s="1"/>
  <c r="R1375" i="1"/>
  <c r="S1375" i="1" s="1"/>
  <c r="R1376" i="1"/>
  <c r="S1376" i="1" s="1"/>
  <c r="R1377" i="1"/>
  <c r="R1378" i="1"/>
  <c r="S1378" i="1" s="1"/>
  <c r="R1379" i="1"/>
  <c r="S1379" i="1" s="1"/>
  <c r="R1380" i="1"/>
  <c r="S1380" i="1" s="1"/>
  <c r="R1381" i="1"/>
  <c r="S1381" i="1" s="1"/>
  <c r="R1382" i="1"/>
  <c r="S1382" i="1" s="1"/>
  <c r="R1383" i="1"/>
  <c r="S1383" i="1" s="1"/>
  <c r="R1384" i="1"/>
  <c r="S1384" i="1" s="1"/>
  <c r="R1385" i="1"/>
  <c r="S1385" i="1" s="1"/>
  <c r="R1386" i="1"/>
  <c r="S1386" i="1" s="1"/>
  <c r="R1387" i="1"/>
  <c r="S1387" i="1" s="1"/>
  <c r="R1388" i="1"/>
  <c r="S1388" i="1" s="1"/>
  <c r="R1389" i="1"/>
  <c r="S1389" i="1" s="1"/>
  <c r="R1390" i="1"/>
  <c r="R1391" i="1"/>
  <c r="S1391" i="1" s="1"/>
  <c r="R1392" i="1"/>
  <c r="S1392" i="1" s="1"/>
  <c r="R1393" i="1"/>
  <c r="S1393" i="1" s="1"/>
  <c r="R1394" i="1"/>
  <c r="S1394" i="1" s="1"/>
  <c r="R1395" i="1"/>
  <c r="S1395" i="1" s="1"/>
  <c r="R1396" i="1"/>
  <c r="S1396" i="1" s="1"/>
  <c r="R1397" i="1"/>
  <c r="S1397" i="1" s="1"/>
  <c r="R1398" i="1"/>
  <c r="S1398" i="1" s="1"/>
  <c r="R1399" i="1"/>
  <c r="S1399" i="1" s="1"/>
  <c r="R1400" i="1"/>
  <c r="S1400" i="1" s="1"/>
  <c r="R1401" i="1"/>
  <c r="R1402" i="1"/>
  <c r="R1403" i="1"/>
  <c r="S1403" i="1" s="1"/>
  <c r="R1404" i="1"/>
  <c r="S1404" i="1" s="1"/>
  <c r="R1405" i="1"/>
  <c r="S1405" i="1" s="1"/>
  <c r="R1406" i="1"/>
  <c r="S1406" i="1" s="1"/>
  <c r="R1407" i="1"/>
  <c r="S1407" i="1" s="1"/>
  <c r="R1408" i="1"/>
  <c r="R1409" i="1"/>
  <c r="S1409" i="1" s="1"/>
  <c r="R1410" i="1"/>
  <c r="R1411" i="1"/>
  <c r="S1411" i="1" s="1"/>
  <c r="R1412" i="1"/>
  <c r="S1412" i="1" s="1"/>
  <c r="R1413" i="1"/>
  <c r="S1413" i="1" s="1"/>
  <c r="R1414" i="1"/>
  <c r="S1414" i="1" s="1"/>
  <c r="R1415" i="1"/>
  <c r="S1415" i="1" s="1"/>
  <c r="R1416" i="1"/>
  <c r="S1416" i="1" s="1"/>
  <c r="R1417" i="1"/>
  <c r="S1417" i="1" s="1"/>
  <c r="R1418" i="1"/>
  <c r="S1418" i="1" s="1"/>
  <c r="R1419" i="1"/>
  <c r="S1419" i="1" s="1"/>
  <c r="R1420" i="1"/>
  <c r="S1420" i="1" s="1"/>
  <c r="R1421" i="1"/>
  <c r="S1421" i="1" s="1"/>
  <c r="R1422" i="1"/>
  <c r="S1422" i="1" s="1"/>
  <c r="R1423" i="1"/>
  <c r="S1423" i="1" s="1"/>
  <c r="R1424" i="1"/>
  <c r="S1424" i="1" s="1"/>
  <c r="R1425" i="1"/>
  <c r="S1425" i="1" s="1"/>
  <c r="R1426" i="1"/>
  <c r="S1426" i="1" s="1"/>
  <c r="R1427" i="1"/>
  <c r="S1427" i="1" s="1"/>
  <c r="R1428" i="1"/>
  <c r="S1428" i="1" s="1"/>
  <c r="R1429" i="1"/>
  <c r="S1429" i="1" s="1"/>
  <c r="R1430" i="1"/>
  <c r="S1430" i="1" s="1"/>
  <c r="R1431" i="1"/>
  <c r="S1431" i="1" s="1"/>
  <c r="R1432" i="1"/>
  <c r="S1432" i="1" s="1"/>
  <c r="R1433" i="1"/>
  <c r="S1433" i="1" s="1"/>
  <c r="R1434" i="1"/>
  <c r="S1434" i="1" s="1"/>
  <c r="R1435" i="1"/>
  <c r="S1435" i="1" s="1"/>
  <c r="R1436" i="1"/>
  <c r="S1436" i="1" s="1"/>
  <c r="R1437" i="1"/>
  <c r="S1437" i="1" s="1"/>
  <c r="R1438" i="1"/>
  <c r="S1438" i="1" s="1"/>
  <c r="R1439" i="1"/>
  <c r="S1439" i="1" s="1"/>
  <c r="R1440" i="1"/>
  <c r="S1440" i="1" s="1"/>
  <c r="R1441" i="1"/>
  <c r="S1441" i="1" s="1"/>
  <c r="R1442" i="1"/>
  <c r="S1442" i="1" s="1"/>
  <c r="R1443" i="1"/>
  <c r="S1443" i="1" s="1"/>
  <c r="R1444" i="1"/>
  <c r="R1445" i="1"/>
  <c r="R1446" i="1"/>
  <c r="R1447" i="1"/>
  <c r="R1448" i="1"/>
  <c r="S1448" i="1" s="1"/>
  <c r="R1449" i="1"/>
  <c r="S1449" i="1" s="1"/>
  <c r="R1450" i="1"/>
  <c r="S1450" i="1" s="1"/>
  <c r="R1451" i="1"/>
  <c r="S1451" i="1" s="1"/>
  <c r="R1452" i="1"/>
  <c r="S1452" i="1" s="1"/>
  <c r="R1453" i="1"/>
  <c r="S1453" i="1" s="1"/>
  <c r="R1454" i="1"/>
  <c r="S1454" i="1" s="1"/>
  <c r="R1455" i="1"/>
  <c r="S1455" i="1" s="1"/>
  <c r="R1456" i="1"/>
  <c r="S1456" i="1" s="1"/>
  <c r="R1457" i="1"/>
  <c r="S1457" i="1" s="1"/>
  <c r="R1458" i="1"/>
  <c r="R1459" i="1"/>
  <c r="S1459" i="1" s="1"/>
  <c r="R1460" i="1"/>
  <c r="S1460" i="1" s="1"/>
  <c r="R1461" i="1"/>
  <c r="S1461" i="1" s="1"/>
  <c r="R1462" i="1"/>
  <c r="S1462" i="1" s="1"/>
  <c r="R1463" i="1"/>
  <c r="S1463" i="1" s="1"/>
  <c r="R1464" i="1"/>
  <c r="S1464" i="1" s="1"/>
  <c r="R1465" i="1"/>
  <c r="S1465" i="1" s="1"/>
  <c r="R1466" i="1"/>
  <c r="S1466" i="1" s="1"/>
  <c r="R1467" i="1"/>
  <c r="S1467" i="1" s="1"/>
  <c r="R1468" i="1"/>
  <c r="S1468" i="1" s="1"/>
  <c r="R1469" i="1"/>
  <c r="S1469" i="1" s="1"/>
  <c r="R1470" i="1"/>
  <c r="S1470" i="1" s="1"/>
  <c r="R1471" i="1"/>
  <c r="S1471" i="1" s="1"/>
  <c r="R1472" i="1"/>
  <c r="R1473" i="1"/>
  <c r="S1473" i="1" s="1"/>
  <c r="R1474" i="1"/>
  <c r="S1474" i="1" s="1"/>
  <c r="R1475" i="1"/>
  <c r="R1476" i="1"/>
  <c r="S1476" i="1" s="1"/>
  <c r="R1477" i="1"/>
  <c r="S1477" i="1" s="1"/>
  <c r="R1478" i="1"/>
  <c r="S1478" i="1" s="1"/>
  <c r="R1479" i="1"/>
  <c r="S1479" i="1" s="1"/>
  <c r="R1480" i="1"/>
  <c r="S1480" i="1" s="1"/>
  <c r="R1481" i="1"/>
  <c r="S1481" i="1" s="1"/>
  <c r="R1482" i="1"/>
  <c r="S1482" i="1" s="1"/>
  <c r="R1483" i="1"/>
  <c r="S1483" i="1" s="1"/>
  <c r="R1484" i="1"/>
  <c r="S1484" i="1" s="1"/>
  <c r="R1485" i="1"/>
  <c r="S1485" i="1" s="1"/>
  <c r="R1486" i="1"/>
  <c r="S1486" i="1" s="1"/>
  <c r="R1487" i="1"/>
  <c r="S1487" i="1" s="1"/>
  <c r="R1488" i="1"/>
  <c r="S1488" i="1" s="1"/>
  <c r="R1489" i="1"/>
  <c r="S1489" i="1" s="1"/>
  <c r="R1490" i="1"/>
  <c r="S1490" i="1" s="1"/>
  <c r="R1491" i="1"/>
  <c r="S1491" i="1" s="1"/>
  <c r="R1492" i="1"/>
  <c r="S1492" i="1" s="1"/>
  <c r="R1493" i="1"/>
  <c r="S1493" i="1" s="1"/>
  <c r="R1494" i="1"/>
  <c r="S1494" i="1" s="1"/>
  <c r="R1495" i="1"/>
  <c r="S1495" i="1" s="1"/>
  <c r="R1496" i="1"/>
  <c r="S1496" i="1" s="1"/>
  <c r="R1497" i="1"/>
  <c r="S1497" i="1" s="1"/>
  <c r="R1498" i="1"/>
  <c r="S1498" i="1" s="1"/>
  <c r="R1499" i="1"/>
  <c r="S1499" i="1" s="1"/>
  <c r="R1500" i="1"/>
  <c r="S1500" i="1" s="1"/>
  <c r="R1501" i="1"/>
  <c r="S1501" i="1" s="1"/>
  <c r="R1502" i="1"/>
  <c r="S1502" i="1" s="1"/>
  <c r="R1503" i="1"/>
  <c r="S1503" i="1" s="1"/>
  <c r="R1504" i="1"/>
  <c r="S1504" i="1" s="1"/>
  <c r="R1505" i="1"/>
  <c r="S1505" i="1" s="1"/>
  <c r="R1506" i="1"/>
  <c r="S1506" i="1" s="1"/>
  <c r="R1507" i="1"/>
  <c r="S1507" i="1" s="1"/>
  <c r="R1508" i="1"/>
  <c r="S1508" i="1" s="1"/>
  <c r="R1509" i="1"/>
  <c r="S1509" i="1" s="1"/>
  <c r="R1510" i="1"/>
  <c r="S1510" i="1" s="1"/>
  <c r="R1511" i="1"/>
  <c r="S1511" i="1" s="1"/>
  <c r="R1512" i="1"/>
  <c r="S1512" i="1" s="1"/>
  <c r="R1513" i="1"/>
  <c r="S1513" i="1" s="1"/>
  <c r="R1514" i="1"/>
  <c r="S1514" i="1" s="1"/>
  <c r="R1515" i="1"/>
  <c r="S1515" i="1" s="1"/>
  <c r="R1516" i="1"/>
  <c r="S1516" i="1" s="1"/>
  <c r="R1517" i="1"/>
  <c r="S1517" i="1" s="1"/>
  <c r="R1518" i="1"/>
  <c r="S1518" i="1" s="1"/>
  <c r="R1519" i="1"/>
  <c r="S1519" i="1" s="1"/>
  <c r="R1520" i="1"/>
  <c r="S1520" i="1" s="1"/>
  <c r="R1521" i="1"/>
  <c r="S1521" i="1" s="1"/>
  <c r="R1522" i="1"/>
  <c r="S1522" i="1" s="1"/>
  <c r="R1523" i="1"/>
  <c r="S1523" i="1" s="1"/>
  <c r="R1524" i="1"/>
  <c r="S1524" i="1" s="1"/>
  <c r="R1525" i="1"/>
  <c r="R1526" i="1"/>
  <c r="S1526" i="1" s="1"/>
  <c r="R1527" i="1"/>
  <c r="S1527" i="1" s="1"/>
  <c r="R1528" i="1"/>
  <c r="S1528" i="1" s="1"/>
  <c r="R1529" i="1"/>
  <c r="S1529" i="1" s="1"/>
  <c r="R1530" i="1"/>
  <c r="S1530" i="1" s="1"/>
  <c r="R1531" i="1"/>
  <c r="S1531" i="1" s="1"/>
  <c r="R1532" i="1"/>
  <c r="S1532" i="1" s="1"/>
  <c r="R1533" i="1"/>
  <c r="S1533" i="1" s="1"/>
  <c r="R1534" i="1"/>
  <c r="R1535" i="1"/>
  <c r="S1535" i="1" s="1"/>
  <c r="R1536" i="1"/>
  <c r="S1536" i="1" s="1"/>
  <c r="R1537" i="1"/>
  <c r="S1537" i="1" s="1"/>
  <c r="R1538" i="1"/>
  <c r="S1538" i="1" s="1"/>
  <c r="R1539" i="1"/>
  <c r="S1539" i="1" s="1"/>
  <c r="R1540" i="1"/>
  <c r="R1541" i="1"/>
  <c r="S1541" i="1" s="1"/>
  <c r="R1542" i="1"/>
  <c r="S1542" i="1" s="1"/>
  <c r="R1543" i="1"/>
  <c r="S1543" i="1" s="1"/>
  <c r="R1544" i="1"/>
  <c r="S1544" i="1" s="1"/>
  <c r="R1545" i="1"/>
  <c r="S1545" i="1" s="1"/>
  <c r="R1546" i="1"/>
  <c r="S1546" i="1" s="1"/>
  <c r="R1547" i="1"/>
  <c r="S1547" i="1" s="1"/>
  <c r="R1548" i="1"/>
  <c r="S1548" i="1" s="1"/>
  <c r="R1549" i="1"/>
  <c r="S1549" i="1" s="1"/>
  <c r="R1550" i="1"/>
  <c r="S1550" i="1" s="1"/>
  <c r="R1551" i="1"/>
  <c r="S1551" i="1" s="1"/>
  <c r="R1552" i="1"/>
  <c r="S1552" i="1" s="1"/>
  <c r="R1553" i="1"/>
  <c r="S1553" i="1" s="1"/>
  <c r="R1554" i="1"/>
  <c r="S1554" i="1" s="1"/>
  <c r="R1555" i="1"/>
  <c r="S1555" i="1" s="1"/>
  <c r="R1556" i="1"/>
  <c r="S1556" i="1" s="1"/>
  <c r="R1557" i="1"/>
  <c r="S1557" i="1" s="1"/>
  <c r="R1558" i="1"/>
  <c r="S1558" i="1" s="1"/>
  <c r="R1559" i="1"/>
  <c r="S1559" i="1" s="1"/>
  <c r="R1560" i="1"/>
  <c r="S1560" i="1" s="1"/>
  <c r="R1561" i="1"/>
  <c r="S1561" i="1" s="1"/>
  <c r="R1562" i="1"/>
  <c r="S1562" i="1" s="1"/>
  <c r="R1563" i="1"/>
  <c r="S1563" i="1" s="1"/>
  <c r="R1564" i="1"/>
  <c r="S1564" i="1" s="1"/>
  <c r="R1565" i="1"/>
  <c r="S1565" i="1" s="1"/>
  <c r="R1566" i="1"/>
  <c r="S1566" i="1" s="1"/>
  <c r="R1567" i="1"/>
  <c r="S1567" i="1" s="1"/>
  <c r="R1568" i="1"/>
  <c r="S1568" i="1" s="1"/>
  <c r="R1569" i="1"/>
  <c r="S1569" i="1" s="1"/>
  <c r="R1570" i="1"/>
  <c r="S1570" i="1" s="1"/>
  <c r="R1571" i="1"/>
  <c r="S1571" i="1" s="1"/>
  <c r="R1572" i="1"/>
  <c r="S1572" i="1" s="1"/>
  <c r="R1573" i="1"/>
  <c r="S1573" i="1" s="1"/>
  <c r="R1574" i="1"/>
  <c r="S1574" i="1" s="1"/>
  <c r="R1575" i="1"/>
  <c r="S1575" i="1" s="1"/>
  <c r="R1576" i="1"/>
  <c r="S1576" i="1" s="1"/>
  <c r="R1577" i="1"/>
  <c r="S1577" i="1" s="1"/>
  <c r="R1578" i="1"/>
  <c r="S1578" i="1" s="1"/>
  <c r="R1579" i="1"/>
  <c r="S1579" i="1" s="1"/>
  <c r="R1580" i="1"/>
  <c r="S1580" i="1" s="1"/>
  <c r="R1581" i="1"/>
  <c r="R1582" i="1"/>
  <c r="S1582" i="1" s="1"/>
  <c r="R1583" i="1"/>
  <c r="S1583" i="1" s="1"/>
  <c r="R1584" i="1"/>
  <c r="S1584" i="1" s="1"/>
  <c r="R1585" i="1"/>
  <c r="S1585" i="1" s="1"/>
  <c r="R1586" i="1"/>
  <c r="S1586" i="1" s="1"/>
  <c r="R1587" i="1"/>
  <c r="S1587" i="1" s="1"/>
  <c r="R1588" i="1"/>
  <c r="S1588" i="1" s="1"/>
  <c r="R1589" i="1"/>
  <c r="S1589" i="1" s="1"/>
  <c r="R1252" i="1"/>
  <c r="S1252" i="1" s="1"/>
  <c r="R1250" i="1"/>
  <c r="S1250" i="1" s="1"/>
  <c r="R730" i="1"/>
  <c r="R731" i="1"/>
  <c r="S731" i="1" s="1"/>
  <c r="R732" i="1"/>
  <c r="S732" i="1" s="1"/>
  <c r="R733" i="1"/>
  <c r="S733" i="1" s="1"/>
  <c r="R734" i="1"/>
  <c r="S734" i="1" s="1"/>
  <c r="R735" i="1"/>
  <c r="S735" i="1" s="1"/>
  <c r="R736" i="1"/>
  <c r="S736" i="1" s="1"/>
  <c r="R737" i="1"/>
  <c r="S737" i="1" s="1"/>
  <c r="R738" i="1"/>
  <c r="S738" i="1" s="1"/>
  <c r="R739" i="1"/>
  <c r="S739" i="1" s="1"/>
  <c r="R740" i="1"/>
  <c r="S740" i="1" s="1"/>
  <c r="R741" i="1"/>
  <c r="S741" i="1" s="1"/>
  <c r="R742" i="1"/>
  <c r="S742" i="1" s="1"/>
  <c r="R743" i="1"/>
  <c r="S743" i="1" s="1"/>
  <c r="R744" i="1"/>
  <c r="S744" i="1" s="1"/>
  <c r="R745" i="1"/>
  <c r="S745" i="1" s="1"/>
  <c r="R746" i="1"/>
  <c r="S746" i="1" s="1"/>
  <c r="R747" i="1"/>
  <c r="S747" i="1" s="1"/>
  <c r="R748" i="1"/>
  <c r="R749" i="1"/>
  <c r="S749" i="1" s="1"/>
  <c r="R750" i="1"/>
  <c r="S750" i="1" s="1"/>
  <c r="R751" i="1"/>
  <c r="S751" i="1" s="1"/>
  <c r="R752" i="1"/>
  <c r="S752" i="1" s="1"/>
  <c r="R753" i="1"/>
  <c r="S753" i="1" s="1"/>
  <c r="R754" i="1"/>
  <c r="S754" i="1" s="1"/>
  <c r="R755" i="1"/>
  <c r="S755" i="1" s="1"/>
  <c r="R756" i="1"/>
  <c r="S756" i="1" s="1"/>
  <c r="R757" i="1"/>
  <c r="S757" i="1" s="1"/>
  <c r="R758" i="1"/>
  <c r="S758" i="1" s="1"/>
  <c r="R759" i="1"/>
  <c r="S759" i="1" s="1"/>
  <c r="R760" i="1"/>
  <c r="S760" i="1" s="1"/>
  <c r="R761" i="1"/>
  <c r="S761" i="1" s="1"/>
  <c r="R762" i="1"/>
  <c r="S762" i="1" s="1"/>
  <c r="R763" i="1"/>
  <c r="S763" i="1" s="1"/>
  <c r="R764" i="1"/>
  <c r="S764" i="1" s="1"/>
  <c r="R765" i="1"/>
  <c r="S765" i="1" s="1"/>
  <c r="R766" i="1"/>
  <c r="S766" i="1" s="1"/>
  <c r="R767" i="1"/>
  <c r="S767" i="1" s="1"/>
  <c r="R768" i="1"/>
  <c r="S768" i="1" s="1"/>
  <c r="R769" i="1"/>
  <c r="S769" i="1" s="1"/>
  <c r="R770" i="1"/>
  <c r="S770" i="1" s="1"/>
  <c r="R771" i="1"/>
  <c r="S771" i="1" s="1"/>
  <c r="R772" i="1"/>
  <c r="S772" i="1" s="1"/>
  <c r="R773" i="1"/>
  <c r="S773" i="1" s="1"/>
  <c r="R774" i="1"/>
  <c r="S774" i="1" s="1"/>
  <c r="R775" i="1"/>
  <c r="S775" i="1" s="1"/>
  <c r="R776" i="1"/>
  <c r="S776" i="1" s="1"/>
  <c r="R778" i="1"/>
  <c r="S778" i="1" s="1"/>
  <c r="R779" i="1"/>
  <c r="S779" i="1" s="1"/>
  <c r="R780" i="1"/>
  <c r="S780" i="1" s="1"/>
  <c r="R781" i="1"/>
  <c r="S781" i="1" s="1"/>
  <c r="R782" i="1"/>
  <c r="S782" i="1" s="1"/>
  <c r="R783" i="1"/>
  <c r="S783" i="1" s="1"/>
  <c r="R784" i="1"/>
  <c r="S784" i="1" s="1"/>
  <c r="R785" i="1"/>
  <c r="R786" i="1"/>
  <c r="S786" i="1" s="1"/>
  <c r="R787" i="1"/>
  <c r="S787" i="1" s="1"/>
  <c r="R788" i="1"/>
  <c r="S788" i="1" s="1"/>
  <c r="R789" i="1"/>
  <c r="S789" i="1" s="1"/>
  <c r="R790" i="1"/>
  <c r="S790" i="1" s="1"/>
  <c r="R791" i="1"/>
  <c r="S791" i="1" s="1"/>
  <c r="R792" i="1"/>
  <c r="S792" i="1" s="1"/>
  <c r="R793" i="1"/>
  <c r="S793" i="1" s="1"/>
  <c r="R794" i="1"/>
  <c r="S794" i="1" s="1"/>
  <c r="R795" i="1"/>
  <c r="S795" i="1" s="1"/>
  <c r="R796" i="1"/>
  <c r="S796" i="1" s="1"/>
  <c r="R797" i="1"/>
  <c r="S797" i="1" s="1"/>
  <c r="R798" i="1"/>
  <c r="S798" i="1" s="1"/>
  <c r="R799" i="1"/>
  <c r="R800" i="1"/>
  <c r="S800" i="1" s="1"/>
  <c r="R801" i="1"/>
  <c r="R802" i="1"/>
  <c r="S802" i="1" s="1"/>
  <c r="R803" i="1"/>
  <c r="S803" i="1" s="1"/>
  <c r="R804" i="1"/>
  <c r="S804" i="1" s="1"/>
  <c r="R805" i="1"/>
  <c r="S805" i="1" s="1"/>
  <c r="R806" i="1"/>
  <c r="S806" i="1" s="1"/>
  <c r="R807" i="1"/>
  <c r="S807" i="1" s="1"/>
  <c r="R808" i="1"/>
  <c r="S808" i="1" s="1"/>
  <c r="R809" i="1"/>
  <c r="S809" i="1" s="1"/>
  <c r="R810" i="1"/>
  <c r="R811" i="1"/>
  <c r="S811" i="1" s="1"/>
  <c r="R812" i="1"/>
  <c r="S812" i="1" s="1"/>
  <c r="R813" i="1"/>
  <c r="S813" i="1" s="1"/>
  <c r="R814" i="1"/>
  <c r="S814" i="1" s="1"/>
  <c r="R815" i="1"/>
  <c r="S815" i="1" s="1"/>
  <c r="R816" i="1"/>
  <c r="S816" i="1" s="1"/>
  <c r="R817" i="1"/>
  <c r="S817" i="1" s="1"/>
  <c r="R818" i="1"/>
  <c r="S818" i="1" s="1"/>
  <c r="R819" i="1"/>
  <c r="S819" i="1" s="1"/>
  <c r="R820" i="1"/>
  <c r="S820" i="1" s="1"/>
  <c r="R821" i="1"/>
  <c r="S821" i="1" s="1"/>
  <c r="R822" i="1"/>
  <c r="S822" i="1" s="1"/>
  <c r="R823" i="1"/>
  <c r="S823" i="1" s="1"/>
  <c r="R824" i="1"/>
  <c r="S824" i="1" s="1"/>
  <c r="R825" i="1"/>
  <c r="S825" i="1" s="1"/>
  <c r="R826" i="1"/>
  <c r="S826" i="1" s="1"/>
  <c r="R827" i="1"/>
  <c r="S827" i="1" s="1"/>
  <c r="R828" i="1"/>
  <c r="S828" i="1" s="1"/>
  <c r="R829" i="1"/>
  <c r="S829" i="1" s="1"/>
  <c r="R830" i="1"/>
  <c r="S830" i="1" s="1"/>
  <c r="R831" i="1"/>
  <c r="S831" i="1" s="1"/>
  <c r="R832" i="1"/>
  <c r="S832" i="1" s="1"/>
  <c r="R833" i="1"/>
  <c r="S833" i="1" s="1"/>
  <c r="R834" i="1"/>
  <c r="S834" i="1" s="1"/>
  <c r="R835" i="1"/>
  <c r="S835" i="1" s="1"/>
  <c r="R836" i="1"/>
  <c r="S836" i="1" s="1"/>
  <c r="R837" i="1"/>
  <c r="S837" i="1" s="1"/>
  <c r="R838" i="1"/>
  <c r="R839" i="1"/>
  <c r="R840" i="1"/>
  <c r="S840" i="1" s="1"/>
  <c r="R841" i="1"/>
  <c r="S841" i="1" s="1"/>
  <c r="R842" i="1"/>
  <c r="R843" i="1"/>
  <c r="R844" i="1"/>
  <c r="S844" i="1" s="1"/>
  <c r="R845" i="1"/>
  <c r="S845" i="1" s="1"/>
  <c r="R846" i="1"/>
  <c r="S846" i="1" s="1"/>
  <c r="R847" i="1"/>
  <c r="S847" i="1" s="1"/>
  <c r="R848" i="1"/>
  <c r="R849" i="1"/>
  <c r="S849" i="1" s="1"/>
  <c r="R850" i="1"/>
  <c r="S850" i="1" s="1"/>
  <c r="R851" i="1"/>
  <c r="S851" i="1" s="1"/>
  <c r="R852" i="1"/>
  <c r="S852" i="1" s="1"/>
  <c r="R853" i="1"/>
  <c r="R854" i="1"/>
  <c r="S854" i="1" s="1"/>
  <c r="R855" i="1"/>
  <c r="S855" i="1" s="1"/>
  <c r="R856" i="1"/>
  <c r="S856" i="1" s="1"/>
  <c r="R857" i="1"/>
  <c r="S857" i="1" s="1"/>
  <c r="R858" i="1"/>
  <c r="S858" i="1" s="1"/>
  <c r="R859" i="1"/>
  <c r="S859" i="1" s="1"/>
  <c r="R860" i="1"/>
  <c r="S860" i="1" s="1"/>
  <c r="R861" i="1"/>
  <c r="S861" i="1" s="1"/>
  <c r="R862" i="1"/>
  <c r="S862" i="1" s="1"/>
  <c r="R863" i="1"/>
  <c r="S863" i="1" s="1"/>
  <c r="R864" i="1"/>
  <c r="S864" i="1" s="1"/>
  <c r="R865" i="1"/>
  <c r="S865" i="1" s="1"/>
  <c r="R866" i="1"/>
  <c r="S866" i="1" s="1"/>
  <c r="R867" i="1"/>
  <c r="S867" i="1" s="1"/>
  <c r="R868" i="1"/>
  <c r="S868" i="1" s="1"/>
  <c r="R869" i="1"/>
  <c r="S869" i="1" s="1"/>
  <c r="R870" i="1"/>
  <c r="S870" i="1" s="1"/>
  <c r="R871" i="1"/>
  <c r="S871" i="1" s="1"/>
  <c r="R872" i="1"/>
  <c r="S872" i="1" s="1"/>
  <c r="R873" i="1"/>
  <c r="S873" i="1" s="1"/>
  <c r="R874" i="1"/>
  <c r="S874" i="1" s="1"/>
  <c r="R875" i="1"/>
  <c r="S875" i="1" s="1"/>
  <c r="R876" i="1"/>
  <c r="S876" i="1" s="1"/>
  <c r="R877" i="1"/>
  <c r="S877" i="1" s="1"/>
  <c r="R878" i="1"/>
  <c r="S878" i="1" s="1"/>
  <c r="R879" i="1"/>
  <c r="S879" i="1" s="1"/>
  <c r="R880" i="1"/>
  <c r="S880" i="1" s="1"/>
  <c r="R881" i="1"/>
  <c r="S881" i="1" s="1"/>
  <c r="R882" i="1"/>
  <c r="R883" i="1"/>
  <c r="R884" i="1"/>
  <c r="S884" i="1" s="1"/>
  <c r="R885" i="1"/>
  <c r="S885" i="1" s="1"/>
  <c r="R886" i="1"/>
  <c r="S886" i="1" s="1"/>
  <c r="R887" i="1"/>
  <c r="R888" i="1"/>
  <c r="R889" i="1"/>
  <c r="S889" i="1" s="1"/>
  <c r="R890" i="1"/>
  <c r="S890" i="1" s="1"/>
  <c r="R891" i="1"/>
  <c r="R892" i="1"/>
  <c r="S892" i="1" s="1"/>
  <c r="R893" i="1"/>
  <c r="R894" i="1"/>
  <c r="R895" i="1"/>
  <c r="S895" i="1" s="1"/>
  <c r="R896" i="1"/>
  <c r="S896" i="1" s="1"/>
  <c r="R897" i="1"/>
  <c r="S897" i="1" s="1"/>
  <c r="R898" i="1"/>
  <c r="S898" i="1" s="1"/>
  <c r="R899" i="1"/>
  <c r="S899" i="1" s="1"/>
  <c r="R900" i="1"/>
  <c r="S900" i="1" s="1"/>
  <c r="R901" i="1"/>
  <c r="R902" i="1"/>
  <c r="S902" i="1" s="1"/>
  <c r="R903" i="1"/>
  <c r="S903" i="1" s="1"/>
  <c r="R904" i="1"/>
  <c r="S904" i="1" s="1"/>
  <c r="R905" i="1"/>
  <c r="S905" i="1" s="1"/>
  <c r="R906" i="1"/>
  <c r="S906" i="1" s="1"/>
  <c r="R907" i="1"/>
  <c r="S907" i="1" s="1"/>
  <c r="R908" i="1"/>
  <c r="R909" i="1"/>
  <c r="R910" i="1"/>
  <c r="S910" i="1" s="1"/>
  <c r="R911" i="1"/>
  <c r="S911" i="1" s="1"/>
  <c r="R912" i="1"/>
  <c r="S912" i="1" s="1"/>
  <c r="R913" i="1"/>
  <c r="S913" i="1" s="1"/>
  <c r="R914" i="1"/>
  <c r="S914" i="1" s="1"/>
  <c r="R915" i="1"/>
  <c r="S915" i="1" s="1"/>
  <c r="R916" i="1"/>
  <c r="S916" i="1" s="1"/>
  <c r="R917" i="1"/>
  <c r="S917" i="1" s="1"/>
  <c r="R918" i="1"/>
  <c r="S918" i="1" s="1"/>
  <c r="R919" i="1"/>
  <c r="S919" i="1" s="1"/>
  <c r="R920" i="1"/>
  <c r="S920" i="1" s="1"/>
  <c r="R921" i="1"/>
  <c r="S921" i="1" s="1"/>
  <c r="R922" i="1"/>
  <c r="S922" i="1" s="1"/>
  <c r="R923" i="1"/>
  <c r="S923" i="1" s="1"/>
  <c r="R924" i="1"/>
  <c r="S924" i="1" s="1"/>
  <c r="R925" i="1"/>
  <c r="S925" i="1" s="1"/>
  <c r="R926" i="1"/>
  <c r="S926" i="1" s="1"/>
  <c r="R927" i="1"/>
  <c r="S927" i="1" s="1"/>
  <c r="R928" i="1"/>
  <c r="S928" i="1" s="1"/>
  <c r="R929" i="1"/>
  <c r="S929" i="1" s="1"/>
  <c r="R930" i="1"/>
  <c r="S930" i="1" s="1"/>
  <c r="R931" i="1"/>
  <c r="S931" i="1" s="1"/>
  <c r="R932" i="1"/>
  <c r="S932" i="1" s="1"/>
  <c r="R933" i="1"/>
  <c r="S933" i="1" s="1"/>
  <c r="R934" i="1"/>
  <c r="S934" i="1" s="1"/>
  <c r="R935" i="1"/>
  <c r="S935" i="1" s="1"/>
  <c r="S936" i="1"/>
  <c r="R937" i="1"/>
  <c r="S937" i="1" s="1"/>
  <c r="R938" i="1"/>
  <c r="S938" i="1" s="1"/>
  <c r="R939" i="1"/>
  <c r="S939" i="1" s="1"/>
  <c r="R940" i="1"/>
  <c r="S940" i="1" s="1"/>
  <c r="R941" i="1"/>
  <c r="S941" i="1" s="1"/>
  <c r="R942" i="1"/>
  <c r="S942" i="1" s="1"/>
  <c r="R943" i="1"/>
  <c r="S943" i="1" s="1"/>
  <c r="R944" i="1"/>
  <c r="S944" i="1" s="1"/>
  <c r="R945" i="1"/>
  <c r="S945" i="1" s="1"/>
  <c r="R946" i="1"/>
  <c r="S946" i="1" s="1"/>
  <c r="R947" i="1"/>
  <c r="S947" i="1" s="1"/>
  <c r="R948" i="1"/>
  <c r="S948" i="1" s="1"/>
  <c r="R949" i="1"/>
  <c r="S949" i="1" s="1"/>
  <c r="R950" i="1"/>
  <c r="S950" i="1" s="1"/>
  <c r="R951" i="1"/>
  <c r="S951" i="1" s="1"/>
  <c r="R952" i="1"/>
  <c r="S952" i="1" s="1"/>
  <c r="R953" i="1"/>
  <c r="S953" i="1" s="1"/>
  <c r="R954" i="1"/>
  <c r="S954" i="1" s="1"/>
  <c r="R955" i="1"/>
  <c r="S955" i="1" s="1"/>
  <c r="R956" i="1"/>
  <c r="S956" i="1" s="1"/>
  <c r="R957" i="1"/>
  <c r="S957" i="1" s="1"/>
  <c r="R958" i="1"/>
  <c r="S958" i="1" s="1"/>
  <c r="R959" i="1"/>
  <c r="S959" i="1" s="1"/>
  <c r="R960" i="1"/>
  <c r="S960" i="1" s="1"/>
  <c r="R961" i="1"/>
  <c r="S961" i="1" s="1"/>
  <c r="R962" i="1"/>
  <c r="S962" i="1" s="1"/>
  <c r="R963" i="1"/>
  <c r="S963" i="1" s="1"/>
  <c r="R964" i="1"/>
  <c r="S964" i="1" s="1"/>
  <c r="R965" i="1"/>
  <c r="S965" i="1" s="1"/>
  <c r="R966" i="1"/>
  <c r="S966" i="1" s="1"/>
  <c r="R967" i="1"/>
  <c r="S967" i="1" s="1"/>
  <c r="R968" i="1"/>
  <c r="S968" i="1" s="1"/>
  <c r="R969" i="1"/>
  <c r="S969" i="1" s="1"/>
  <c r="R970" i="1"/>
  <c r="S970" i="1" s="1"/>
  <c r="R971" i="1"/>
  <c r="S971" i="1" s="1"/>
  <c r="R972" i="1"/>
  <c r="S972" i="1" s="1"/>
  <c r="R973" i="1"/>
  <c r="S973" i="1" s="1"/>
  <c r="R974" i="1"/>
  <c r="S974" i="1" s="1"/>
  <c r="R975" i="1"/>
  <c r="S975" i="1" s="1"/>
  <c r="R976" i="1"/>
  <c r="S976" i="1" s="1"/>
  <c r="R977" i="1"/>
  <c r="S977" i="1" s="1"/>
  <c r="R978" i="1"/>
  <c r="S978" i="1" s="1"/>
  <c r="R979" i="1"/>
  <c r="S979" i="1" s="1"/>
  <c r="R980" i="1"/>
  <c r="S980" i="1" s="1"/>
  <c r="R981" i="1"/>
  <c r="S981" i="1" s="1"/>
  <c r="R982" i="1"/>
  <c r="S982" i="1" s="1"/>
  <c r="R983" i="1"/>
  <c r="S983" i="1" s="1"/>
  <c r="R984" i="1"/>
  <c r="S984" i="1" s="1"/>
  <c r="R985" i="1"/>
  <c r="S985" i="1" s="1"/>
  <c r="R986" i="1"/>
  <c r="S986" i="1" s="1"/>
  <c r="R987" i="1"/>
  <c r="S987" i="1" s="1"/>
  <c r="R988" i="1"/>
  <c r="S988" i="1" s="1"/>
  <c r="R989" i="1"/>
  <c r="S989" i="1" s="1"/>
  <c r="R990" i="1"/>
  <c r="S990" i="1" s="1"/>
  <c r="R991" i="1"/>
  <c r="S991" i="1" s="1"/>
  <c r="R992" i="1"/>
  <c r="S992" i="1" s="1"/>
  <c r="R993" i="1"/>
  <c r="S993" i="1" s="1"/>
  <c r="R994" i="1"/>
  <c r="S994" i="1" s="1"/>
  <c r="R995" i="1"/>
  <c r="S995" i="1" s="1"/>
  <c r="R996" i="1"/>
  <c r="S996" i="1" s="1"/>
  <c r="R997" i="1"/>
  <c r="S997" i="1" s="1"/>
  <c r="R998" i="1"/>
  <c r="S998" i="1" s="1"/>
  <c r="R999" i="1"/>
  <c r="S999" i="1" s="1"/>
  <c r="R1000" i="1"/>
  <c r="S1000" i="1" s="1"/>
  <c r="R1001" i="1"/>
  <c r="S1001" i="1" s="1"/>
  <c r="R1002" i="1"/>
  <c r="S1002" i="1" s="1"/>
  <c r="R1003" i="1"/>
  <c r="S1003" i="1" s="1"/>
  <c r="R1004" i="1"/>
  <c r="S1004" i="1" s="1"/>
  <c r="R1005" i="1"/>
  <c r="S1005" i="1" s="1"/>
  <c r="R1006" i="1"/>
  <c r="S1006" i="1" s="1"/>
  <c r="R1007" i="1"/>
  <c r="S1007" i="1" s="1"/>
  <c r="R1008" i="1"/>
  <c r="S1008" i="1" s="1"/>
  <c r="R1009" i="1"/>
  <c r="S1009" i="1" s="1"/>
  <c r="R1010" i="1"/>
  <c r="S1010" i="1" s="1"/>
  <c r="R1011" i="1"/>
  <c r="S1011" i="1" s="1"/>
  <c r="R1012" i="1"/>
  <c r="S1012" i="1" s="1"/>
  <c r="R1013" i="1"/>
  <c r="S1013" i="1" s="1"/>
  <c r="R1014" i="1"/>
  <c r="S1014" i="1" s="1"/>
  <c r="R1015" i="1"/>
  <c r="S1015" i="1" s="1"/>
  <c r="R1016" i="1"/>
  <c r="S1016" i="1" s="1"/>
  <c r="R1017" i="1"/>
  <c r="S1017" i="1" s="1"/>
  <c r="R1018" i="1"/>
  <c r="S1018" i="1" s="1"/>
  <c r="R1019" i="1"/>
  <c r="S1019" i="1" s="1"/>
  <c r="R1020" i="1"/>
  <c r="S1020" i="1" s="1"/>
  <c r="R1021" i="1"/>
  <c r="S1021" i="1" s="1"/>
  <c r="R1022" i="1"/>
  <c r="S1022" i="1" s="1"/>
  <c r="R1023" i="1"/>
  <c r="S1023" i="1" s="1"/>
  <c r="R1024" i="1"/>
  <c r="S1024" i="1" s="1"/>
  <c r="R1025" i="1"/>
  <c r="S1025" i="1" s="1"/>
  <c r="R1026" i="1"/>
  <c r="S1026" i="1" s="1"/>
  <c r="R1027" i="1"/>
  <c r="S1027" i="1" s="1"/>
  <c r="R1028" i="1"/>
  <c r="S1028" i="1" s="1"/>
  <c r="R1029" i="1"/>
  <c r="S1029" i="1" s="1"/>
  <c r="R1030" i="1"/>
  <c r="S1030" i="1" s="1"/>
  <c r="R1031" i="1"/>
  <c r="S1031" i="1" s="1"/>
  <c r="R1032" i="1"/>
  <c r="S1032" i="1" s="1"/>
  <c r="R1033" i="1"/>
  <c r="S1033" i="1" s="1"/>
  <c r="R1034" i="1"/>
  <c r="S1034" i="1" s="1"/>
  <c r="R1035" i="1"/>
  <c r="S1035" i="1" s="1"/>
  <c r="R1036" i="1"/>
  <c r="S1036" i="1" s="1"/>
  <c r="R1037" i="1"/>
  <c r="S1037" i="1" s="1"/>
  <c r="R1038" i="1"/>
  <c r="S1038" i="1" s="1"/>
  <c r="R1039" i="1"/>
  <c r="S1039" i="1" s="1"/>
  <c r="R1040" i="1"/>
  <c r="S1040" i="1" s="1"/>
  <c r="R1041" i="1"/>
  <c r="S1041" i="1" s="1"/>
  <c r="R1042" i="1"/>
  <c r="S1042" i="1" s="1"/>
  <c r="R1043" i="1"/>
  <c r="S1043" i="1" s="1"/>
  <c r="R1044" i="1"/>
  <c r="S1044" i="1" s="1"/>
  <c r="R1045" i="1"/>
  <c r="S1045" i="1" s="1"/>
  <c r="R1046" i="1"/>
  <c r="S1046" i="1" s="1"/>
  <c r="R1047" i="1"/>
  <c r="S1047" i="1" s="1"/>
  <c r="R1048" i="1"/>
  <c r="S1048" i="1" s="1"/>
  <c r="R1049" i="1"/>
  <c r="S1049" i="1" s="1"/>
  <c r="R1050" i="1"/>
  <c r="S1050" i="1" s="1"/>
  <c r="R1051" i="1"/>
  <c r="S1051" i="1" s="1"/>
  <c r="R1052" i="1"/>
  <c r="S1052" i="1" s="1"/>
  <c r="R1053" i="1"/>
  <c r="S1053" i="1" s="1"/>
  <c r="R1054" i="1"/>
  <c r="S1054" i="1" s="1"/>
  <c r="R1055" i="1"/>
  <c r="S1055" i="1" s="1"/>
  <c r="R1056" i="1"/>
  <c r="S1056" i="1" s="1"/>
  <c r="R1057" i="1"/>
  <c r="S1057" i="1" s="1"/>
  <c r="R1058" i="1"/>
  <c r="R1059" i="1"/>
  <c r="S1059" i="1" s="1"/>
  <c r="R1060" i="1"/>
  <c r="S1060" i="1" s="1"/>
  <c r="R1061" i="1"/>
  <c r="S1061" i="1" s="1"/>
  <c r="R1062" i="1"/>
  <c r="S1062" i="1" s="1"/>
  <c r="R1063" i="1"/>
  <c r="S1063" i="1" s="1"/>
  <c r="R1064" i="1"/>
  <c r="S1064" i="1" s="1"/>
  <c r="R1065" i="1"/>
  <c r="S1065" i="1" s="1"/>
  <c r="R1066" i="1"/>
  <c r="S1066" i="1" s="1"/>
  <c r="R1067" i="1"/>
  <c r="S1067" i="1" s="1"/>
  <c r="R1068" i="1"/>
  <c r="S1068" i="1" s="1"/>
  <c r="R1069" i="1"/>
  <c r="S1069" i="1" s="1"/>
  <c r="R1070" i="1"/>
  <c r="S1070" i="1" s="1"/>
  <c r="R1071" i="1"/>
  <c r="S1071" i="1" s="1"/>
  <c r="R1072" i="1"/>
  <c r="S1072" i="1" s="1"/>
  <c r="R1073" i="1"/>
  <c r="S1073" i="1" s="1"/>
  <c r="R1074" i="1"/>
  <c r="S1074" i="1" s="1"/>
  <c r="R1075" i="1"/>
  <c r="S1075" i="1" s="1"/>
  <c r="R1076" i="1"/>
  <c r="S1076" i="1" s="1"/>
  <c r="R1077" i="1"/>
  <c r="S1077" i="1" s="1"/>
  <c r="R1078" i="1"/>
  <c r="S1078" i="1" s="1"/>
  <c r="R1079" i="1"/>
  <c r="S1079" i="1" s="1"/>
  <c r="R1080" i="1"/>
  <c r="S1080" i="1" s="1"/>
  <c r="R1081" i="1"/>
  <c r="S1081" i="1" s="1"/>
  <c r="R1082" i="1"/>
  <c r="S1082" i="1" s="1"/>
  <c r="R1083" i="1"/>
  <c r="S1083" i="1" s="1"/>
  <c r="R1084" i="1"/>
  <c r="S1084" i="1" s="1"/>
  <c r="R1085" i="1"/>
  <c r="S1085" i="1" s="1"/>
  <c r="R1086" i="1"/>
  <c r="S1086" i="1" s="1"/>
  <c r="R1087" i="1"/>
  <c r="S1087" i="1" s="1"/>
  <c r="R1088" i="1"/>
  <c r="S1088" i="1" s="1"/>
  <c r="R1089" i="1"/>
  <c r="S1089" i="1" s="1"/>
  <c r="R1090" i="1"/>
  <c r="S1090" i="1" s="1"/>
  <c r="R1091" i="1"/>
  <c r="S1091" i="1" s="1"/>
  <c r="R1092" i="1"/>
  <c r="S1092" i="1" s="1"/>
  <c r="R1093" i="1"/>
  <c r="S1093" i="1" s="1"/>
  <c r="R1094" i="1"/>
  <c r="S1094" i="1" s="1"/>
  <c r="R1095" i="1"/>
  <c r="S1095" i="1" s="1"/>
  <c r="R1096" i="1"/>
  <c r="S1096" i="1" s="1"/>
  <c r="R1097" i="1"/>
  <c r="S1097" i="1" s="1"/>
  <c r="R1098" i="1"/>
  <c r="S1098" i="1" s="1"/>
  <c r="R1099" i="1"/>
  <c r="S1099" i="1" s="1"/>
  <c r="R1100" i="1"/>
  <c r="S1100" i="1" s="1"/>
  <c r="R1101" i="1"/>
  <c r="S1101" i="1" s="1"/>
  <c r="R1102" i="1"/>
  <c r="S1102" i="1" s="1"/>
  <c r="R1103" i="1"/>
  <c r="S1103" i="1" s="1"/>
  <c r="R1104" i="1"/>
  <c r="S1104" i="1" s="1"/>
  <c r="R1105" i="1"/>
  <c r="S1105" i="1" s="1"/>
  <c r="R1106" i="1"/>
  <c r="S1106" i="1" s="1"/>
  <c r="R1107" i="1"/>
  <c r="S1107" i="1" s="1"/>
  <c r="R1108" i="1"/>
  <c r="S1108" i="1" s="1"/>
  <c r="R1109" i="1"/>
  <c r="S1109" i="1" s="1"/>
  <c r="R1110" i="1"/>
  <c r="S1110" i="1" s="1"/>
  <c r="R1111" i="1"/>
  <c r="S1111" i="1" s="1"/>
  <c r="R1112" i="1"/>
  <c r="S1112" i="1" s="1"/>
  <c r="R1113" i="1"/>
  <c r="S1113" i="1" s="1"/>
  <c r="R1114" i="1"/>
  <c r="S1114" i="1" s="1"/>
  <c r="R1115" i="1"/>
  <c r="S1115" i="1" s="1"/>
  <c r="R1116" i="1"/>
  <c r="S1116" i="1" s="1"/>
  <c r="R1117" i="1"/>
  <c r="S1117" i="1" s="1"/>
  <c r="R1118" i="1"/>
  <c r="S1118" i="1" s="1"/>
  <c r="R1119" i="1"/>
  <c r="S1119" i="1" s="1"/>
  <c r="R1120" i="1"/>
  <c r="S1120" i="1" s="1"/>
  <c r="R1121" i="1"/>
  <c r="S1121" i="1" s="1"/>
  <c r="R1122" i="1"/>
  <c r="S1122" i="1" s="1"/>
  <c r="R1123" i="1"/>
  <c r="S1123" i="1" s="1"/>
  <c r="R1124" i="1"/>
  <c r="S1124" i="1" s="1"/>
  <c r="R1125" i="1"/>
  <c r="S1125" i="1" s="1"/>
  <c r="R1126" i="1"/>
  <c r="S1126" i="1" s="1"/>
  <c r="R1127" i="1"/>
  <c r="S1127" i="1" s="1"/>
  <c r="R1128" i="1"/>
  <c r="S1128" i="1" s="1"/>
  <c r="R1129" i="1"/>
  <c r="S1129" i="1" s="1"/>
  <c r="R1130" i="1"/>
  <c r="S1130" i="1" s="1"/>
  <c r="R1131" i="1"/>
  <c r="S1131" i="1" s="1"/>
  <c r="R1132" i="1"/>
  <c r="S1132" i="1" s="1"/>
  <c r="R1133" i="1"/>
  <c r="S1133" i="1" s="1"/>
  <c r="R1134" i="1"/>
  <c r="S1134" i="1" s="1"/>
  <c r="R1135" i="1"/>
  <c r="S1135" i="1" s="1"/>
  <c r="R1136" i="1"/>
  <c r="S1136" i="1" s="1"/>
  <c r="R1137" i="1"/>
  <c r="S1137" i="1" s="1"/>
  <c r="R1138" i="1"/>
  <c r="S1138" i="1" s="1"/>
  <c r="R1139" i="1"/>
  <c r="S1139" i="1" s="1"/>
  <c r="R1140" i="1"/>
  <c r="S1140" i="1" s="1"/>
  <c r="R1141" i="1"/>
  <c r="S1141" i="1" s="1"/>
  <c r="R1142" i="1"/>
  <c r="S1142" i="1" s="1"/>
  <c r="R1143" i="1"/>
  <c r="S1143" i="1" s="1"/>
  <c r="R1144" i="1"/>
  <c r="S1144" i="1" s="1"/>
  <c r="R1145" i="1"/>
  <c r="S1145" i="1" s="1"/>
  <c r="R1146" i="1"/>
  <c r="S1146" i="1" s="1"/>
  <c r="R1147" i="1"/>
  <c r="S1147" i="1" s="1"/>
  <c r="R1148" i="1"/>
  <c r="S1148" i="1" s="1"/>
  <c r="R1149" i="1"/>
  <c r="S1149" i="1" s="1"/>
  <c r="R1150" i="1"/>
  <c r="S1150" i="1" s="1"/>
  <c r="R1151" i="1"/>
  <c r="S1151" i="1" s="1"/>
  <c r="R1152" i="1"/>
  <c r="S1152" i="1" s="1"/>
  <c r="R1153" i="1"/>
  <c r="S1153" i="1" s="1"/>
  <c r="R1154" i="1"/>
  <c r="S1154" i="1" s="1"/>
  <c r="R1155" i="1"/>
  <c r="S1155" i="1" s="1"/>
  <c r="R1156" i="1"/>
  <c r="S1156" i="1" s="1"/>
  <c r="R1157" i="1"/>
  <c r="S1157" i="1" s="1"/>
  <c r="R1158" i="1"/>
  <c r="S1158" i="1" s="1"/>
  <c r="R1159" i="1"/>
  <c r="S1159" i="1" s="1"/>
  <c r="R1160" i="1"/>
  <c r="S1160" i="1" s="1"/>
  <c r="R1161" i="1"/>
  <c r="S1161" i="1" s="1"/>
  <c r="R1162" i="1"/>
  <c r="S1162" i="1" s="1"/>
  <c r="R1163" i="1"/>
  <c r="S1163" i="1" s="1"/>
  <c r="R1164" i="1"/>
  <c r="S1164" i="1" s="1"/>
  <c r="R1165" i="1"/>
  <c r="S1165" i="1" s="1"/>
  <c r="R1166" i="1"/>
  <c r="S1166" i="1" s="1"/>
  <c r="R1167" i="1"/>
  <c r="S1167" i="1" s="1"/>
  <c r="R1168" i="1"/>
  <c r="S1168" i="1" s="1"/>
  <c r="R1169" i="1"/>
  <c r="S1169" i="1" s="1"/>
  <c r="R1170" i="1"/>
  <c r="S1170" i="1" s="1"/>
  <c r="R1171" i="1"/>
  <c r="S1171" i="1" s="1"/>
  <c r="R1172" i="1"/>
  <c r="S1172" i="1" s="1"/>
  <c r="R1173" i="1"/>
  <c r="S1173" i="1" s="1"/>
  <c r="R1174" i="1"/>
  <c r="S1174" i="1" s="1"/>
  <c r="R1175" i="1"/>
  <c r="R1176" i="1"/>
  <c r="S1176" i="1" s="1"/>
  <c r="R1177" i="1"/>
  <c r="S1177" i="1" s="1"/>
  <c r="R1178" i="1"/>
  <c r="S1178" i="1" s="1"/>
  <c r="R1179" i="1"/>
  <c r="S1179" i="1" s="1"/>
  <c r="R1180" i="1"/>
  <c r="S1180" i="1" s="1"/>
  <c r="R1181" i="1"/>
  <c r="S1181" i="1" s="1"/>
  <c r="R1182" i="1"/>
  <c r="S1182" i="1" s="1"/>
  <c r="R1183" i="1"/>
  <c r="S1183" i="1" s="1"/>
  <c r="R1184" i="1"/>
  <c r="S1184" i="1" s="1"/>
  <c r="R1185" i="1"/>
  <c r="S1185" i="1" s="1"/>
  <c r="R1186" i="1"/>
  <c r="S1186" i="1" s="1"/>
  <c r="R1187" i="1"/>
  <c r="S1187" i="1" s="1"/>
  <c r="R1188" i="1"/>
  <c r="S1188" i="1" s="1"/>
  <c r="R1189" i="1"/>
  <c r="S1189" i="1" s="1"/>
  <c r="R1190" i="1"/>
  <c r="S1190" i="1" s="1"/>
  <c r="R1191" i="1"/>
  <c r="S1191" i="1" s="1"/>
  <c r="R1192" i="1"/>
  <c r="S1192" i="1" s="1"/>
  <c r="R1193" i="1"/>
  <c r="S1193" i="1" s="1"/>
  <c r="R1194" i="1"/>
  <c r="S1194" i="1" s="1"/>
  <c r="R1195" i="1"/>
  <c r="S1195" i="1" s="1"/>
  <c r="R1196" i="1"/>
  <c r="S1196" i="1" s="1"/>
  <c r="R1197" i="1"/>
  <c r="S1197" i="1" s="1"/>
  <c r="R1198" i="1"/>
  <c r="S1198" i="1" s="1"/>
  <c r="R1199" i="1"/>
  <c r="S1199" i="1" s="1"/>
  <c r="R1200" i="1"/>
  <c r="R1201" i="1"/>
  <c r="R1202" i="1"/>
  <c r="R1203" i="1"/>
  <c r="R1204" i="1"/>
  <c r="S1204" i="1" s="1"/>
  <c r="R1205" i="1"/>
  <c r="S1205" i="1" s="1"/>
  <c r="R1206" i="1"/>
  <c r="S1206" i="1" s="1"/>
  <c r="R1207" i="1"/>
  <c r="S1207" i="1" s="1"/>
  <c r="R1208" i="1"/>
  <c r="S1208" i="1" s="1"/>
  <c r="R1209" i="1"/>
  <c r="S1209" i="1" s="1"/>
  <c r="R1210" i="1"/>
  <c r="S1210" i="1" s="1"/>
  <c r="R1211" i="1"/>
  <c r="S1211" i="1" s="1"/>
  <c r="R1212" i="1"/>
  <c r="S1212" i="1" s="1"/>
  <c r="R1213" i="1"/>
  <c r="S1213" i="1" s="1"/>
  <c r="R1214" i="1"/>
  <c r="S1214" i="1" s="1"/>
  <c r="R1215" i="1"/>
  <c r="S1215" i="1" s="1"/>
  <c r="R1216" i="1"/>
  <c r="S1216" i="1" s="1"/>
  <c r="R1217" i="1"/>
  <c r="S1217" i="1" s="1"/>
  <c r="R1218" i="1"/>
  <c r="S1218" i="1" s="1"/>
  <c r="R1219" i="1"/>
  <c r="S1219" i="1" s="1"/>
  <c r="R1220" i="1"/>
  <c r="S1220" i="1" s="1"/>
  <c r="R1221" i="1"/>
  <c r="S1221" i="1" s="1"/>
  <c r="R1222" i="1"/>
  <c r="S1222" i="1" s="1"/>
  <c r="R1223" i="1"/>
  <c r="S1223" i="1" s="1"/>
  <c r="R1224" i="1"/>
  <c r="S1224" i="1" s="1"/>
  <c r="R1225" i="1"/>
  <c r="S1225" i="1" s="1"/>
  <c r="R1226" i="1"/>
  <c r="S1226" i="1" s="1"/>
  <c r="R1227" i="1"/>
  <c r="S1227" i="1" s="1"/>
  <c r="R1228" i="1"/>
  <c r="S1228" i="1" s="1"/>
  <c r="R1229" i="1"/>
  <c r="S1229" i="1" s="1"/>
  <c r="R1230" i="1"/>
  <c r="S1230" i="1" s="1"/>
  <c r="R1231" i="1"/>
  <c r="S1231" i="1" s="1"/>
  <c r="R1232" i="1"/>
  <c r="S1232" i="1" s="1"/>
  <c r="R1233" i="1"/>
  <c r="S1233" i="1" s="1"/>
  <c r="R1234" i="1"/>
  <c r="S1234" i="1" s="1"/>
  <c r="R1235" i="1"/>
  <c r="S1235" i="1" s="1"/>
  <c r="R1236" i="1"/>
  <c r="S1236" i="1" s="1"/>
  <c r="R1237" i="1"/>
  <c r="S1237" i="1" s="1"/>
  <c r="R1238" i="1"/>
  <c r="S1238" i="1" s="1"/>
  <c r="R1239" i="1"/>
  <c r="S1239" i="1" s="1"/>
  <c r="R1240" i="1"/>
  <c r="S1240" i="1" s="1"/>
  <c r="R1241" i="1"/>
  <c r="S1241" i="1" s="1"/>
  <c r="R1242" i="1"/>
  <c r="S1242" i="1" s="1"/>
  <c r="R1243" i="1"/>
  <c r="S1243" i="1" s="1"/>
  <c r="R1244" i="1"/>
  <c r="R1245" i="1"/>
  <c r="S1245" i="1" s="1"/>
  <c r="R1246" i="1"/>
  <c r="S1246" i="1" s="1"/>
  <c r="R1247" i="1"/>
  <c r="S1247" i="1" s="1"/>
  <c r="R1248" i="1"/>
  <c r="S1248" i="1" s="1"/>
  <c r="R1249" i="1"/>
  <c r="S1249" i="1" s="1"/>
  <c r="R608" i="1"/>
  <c r="S608" i="1" s="1"/>
  <c r="R609" i="1"/>
  <c r="S609" i="1" s="1"/>
  <c r="R610" i="1"/>
  <c r="S610" i="1" s="1"/>
  <c r="R611" i="1"/>
  <c r="S611" i="1" s="1"/>
  <c r="R612" i="1"/>
  <c r="S612" i="1" s="1"/>
  <c r="R613" i="1"/>
  <c r="S613" i="1" s="1"/>
  <c r="R614" i="1"/>
  <c r="S614" i="1" s="1"/>
  <c r="R615" i="1"/>
  <c r="S615" i="1" s="1"/>
  <c r="R616" i="1"/>
  <c r="S616" i="1" s="1"/>
  <c r="R617" i="1"/>
  <c r="S617" i="1" s="1"/>
  <c r="R618" i="1"/>
  <c r="S618" i="1" s="1"/>
  <c r="R619" i="1"/>
  <c r="S619" i="1" s="1"/>
  <c r="R620" i="1"/>
  <c r="S620" i="1" s="1"/>
  <c r="R621" i="1"/>
  <c r="S621" i="1" s="1"/>
  <c r="R622" i="1"/>
  <c r="S622" i="1" s="1"/>
  <c r="R623" i="1"/>
  <c r="S623" i="1" s="1"/>
  <c r="R624" i="1"/>
  <c r="S624" i="1" s="1"/>
  <c r="R625" i="1"/>
  <c r="S625" i="1" s="1"/>
  <c r="R626" i="1"/>
  <c r="S626" i="1" s="1"/>
  <c r="R627" i="1"/>
  <c r="S627" i="1" s="1"/>
  <c r="R628" i="1"/>
  <c r="S628" i="1" s="1"/>
  <c r="R629" i="1"/>
  <c r="S629" i="1" s="1"/>
  <c r="R630" i="1"/>
  <c r="S630" i="1" s="1"/>
  <c r="R631" i="1"/>
  <c r="S631" i="1" s="1"/>
  <c r="R632" i="1"/>
  <c r="S632" i="1" s="1"/>
  <c r="R633" i="1"/>
  <c r="S633" i="1" s="1"/>
  <c r="R634" i="1"/>
  <c r="S634" i="1" s="1"/>
  <c r="R635" i="1"/>
  <c r="S635" i="1" s="1"/>
  <c r="R636" i="1"/>
  <c r="S636" i="1" s="1"/>
  <c r="R637" i="1"/>
  <c r="S637" i="1" s="1"/>
  <c r="R638" i="1"/>
  <c r="S638" i="1" s="1"/>
  <c r="R639" i="1"/>
  <c r="S639" i="1" s="1"/>
  <c r="R640" i="1"/>
  <c r="S640" i="1" s="1"/>
  <c r="R641" i="1"/>
  <c r="S641" i="1" s="1"/>
  <c r="R642" i="1"/>
  <c r="S642" i="1" s="1"/>
  <c r="R643" i="1"/>
  <c r="S643" i="1" s="1"/>
  <c r="R644" i="1"/>
  <c r="S644" i="1" s="1"/>
  <c r="R645" i="1"/>
  <c r="S645" i="1" s="1"/>
  <c r="R646" i="1"/>
  <c r="S646" i="1" s="1"/>
  <c r="R647" i="1"/>
  <c r="S647" i="1" s="1"/>
  <c r="R648" i="1"/>
  <c r="S648" i="1" s="1"/>
  <c r="R649" i="1"/>
  <c r="S649" i="1" s="1"/>
  <c r="R650" i="1"/>
  <c r="S650" i="1" s="1"/>
  <c r="R651" i="1"/>
  <c r="S651" i="1" s="1"/>
  <c r="R652" i="1"/>
  <c r="S652" i="1" s="1"/>
  <c r="R653" i="1"/>
  <c r="S653" i="1" s="1"/>
  <c r="R654" i="1"/>
  <c r="S654" i="1" s="1"/>
  <c r="R655" i="1"/>
  <c r="S655" i="1" s="1"/>
  <c r="R656" i="1"/>
  <c r="S656" i="1" s="1"/>
  <c r="R657" i="1"/>
  <c r="S657" i="1" s="1"/>
  <c r="R658" i="1"/>
  <c r="S658" i="1" s="1"/>
  <c r="R659" i="1"/>
  <c r="S659" i="1" s="1"/>
  <c r="R660" i="1"/>
  <c r="S660" i="1" s="1"/>
  <c r="R661" i="1"/>
  <c r="S661" i="1" s="1"/>
  <c r="R662" i="1"/>
  <c r="S662" i="1" s="1"/>
  <c r="R663" i="1"/>
  <c r="S663" i="1" s="1"/>
  <c r="R664" i="1"/>
  <c r="S664" i="1" s="1"/>
  <c r="R665" i="1"/>
  <c r="S665" i="1" s="1"/>
  <c r="R666" i="1"/>
  <c r="S666" i="1" s="1"/>
  <c r="R667" i="1"/>
  <c r="S667" i="1" s="1"/>
  <c r="R668" i="1"/>
  <c r="S668" i="1" s="1"/>
  <c r="R669" i="1"/>
  <c r="S669" i="1" s="1"/>
  <c r="R670" i="1"/>
  <c r="S670" i="1" s="1"/>
  <c r="R671" i="1"/>
  <c r="S671" i="1" s="1"/>
  <c r="R672" i="1"/>
  <c r="S672" i="1" s="1"/>
  <c r="R673" i="1"/>
  <c r="S673" i="1" s="1"/>
  <c r="R674" i="1"/>
  <c r="S674" i="1" s="1"/>
  <c r="R675" i="1"/>
  <c r="S675" i="1" s="1"/>
  <c r="R676" i="1"/>
  <c r="S676" i="1" s="1"/>
  <c r="R677" i="1"/>
  <c r="S677" i="1" s="1"/>
  <c r="R678" i="1"/>
  <c r="S678" i="1" s="1"/>
  <c r="R679" i="1"/>
  <c r="S679" i="1" s="1"/>
  <c r="R680" i="1"/>
  <c r="S680" i="1" s="1"/>
  <c r="R681" i="1"/>
  <c r="S681" i="1" s="1"/>
  <c r="R682" i="1"/>
  <c r="S682" i="1" s="1"/>
  <c r="R683" i="1"/>
  <c r="S683" i="1" s="1"/>
  <c r="R684" i="1"/>
  <c r="S684" i="1" s="1"/>
  <c r="R685" i="1"/>
  <c r="R686" i="1"/>
  <c r="S686" i="1" s="1"/>
  <c r="R687" i="1"/>
  <c r="S687" i="1" s="1"/>
  <c r="R688" i="1"/>
  <c r="S688" i="1" s="1"/>
  <c r="R689" i="1"/>
  <c r="S689" i="1" s="1"/>
  <c r="R690" i="1"/>
  <c r="S690" i="1" s="1"/>
  <c r="R691" i="1"/>
  <c r="S691" i="1" s="1"/>
  <c r="R692" i="1"/>
  <c r="S692" i="1" s="1"/>
  <c r="R693" i="1"/>
  <c r="S693" i="1" s="1"/>
  <c r="R694" i="1"/>
  <c r="S694" i="1" s="1"/>
  <c r="R695" i="1"/>
  <c r="S695" i="1" s="1"/>
  <c r="R696" i="1"/>
  <c r="S696" i="1" s="1"/>
  <c r="R697" i="1"/>
  <c r="S697" i="1" s="1"/>
  <c r="R698" i="1"/>
  <c r="S698" i="1" s="1"/>
  <c r="R699" i="1"/>
  <c r="S699" i="1" s="1"/>
  <c r="R700" i="1"/>
  <c r="S700" i="1" s="1"/>
  <c r="R701" i="1"/>
  <c r="S701" i="1" s="1"/>
  <c r="R702" i="1"/>
  <c r="S702" i="1" s="1"/>
  <c r="R703" i="1"/>
  <c r="S703" i="1" s="1"/>
  <c r="R704" i="1"/>
  <c r="S704" i="1" s="1"/>
  <c r="R705" i="1"/>
  <c r="S705" i="1" s="1"/>
  <c r="R706" i="1"/>
  <c r="S706" i="1" s="1"/>
  <c r="R707" i="1"/>
  <c r="S707" i="1" s="1"/>
  <c r="R708" i="1"/>
  <c r="R709" i="1"/>
  <c r="S709" i="1" s="1"/>
  <c r="R710" i="1"/>
  <c r="S710" i="1" s="1"/>
  <c r="R711" i="1"/>
  <c r="S711" i="1" s="1"/>
  <c r="R712" i="1"/>
  <c r="S712" i="1" s="1"/>
  <c r="R713" i="1"/>
  <c r="S713" i="1" s="1"/>
  <c r="R714" i="1"/>
  <c r="S714" i="1" s="1"/>
  <c r="R715" i="1"/>
  <c r="S715" i="1" s="1"/>
  <c r="R716" i="1"/>
  <c r="S716" i="1" s="1"/>
  <c r="R717" i="1"/>
  <c r="S717" i="1" s="1"/>
  <c r="R718" i="1"/>
  <c r="S718" i="1" s="1"/>
  <c r="R719" i="1"/>
  <c r="S719" i="1" s="1"/>
  <c r="R720" i="1"/>
  <c r="S720" i="1" s="1"/>
  <c r="R721" i="1"/>
  <c r="S721" i="1" s="1"/>
  <c r="R722" i="1"/>
  <c r="S722" i="1" s="1"/>
  <c r="R723" i="1"/>
  <c r="S723" i="1" s="1"/>
  <c r="R724" i="1"/>
  <c r="S724" i="1" s="1"/>
  <c r="R725" i="1"/>
  <c r="S725" i="1" s="1"/>
  <c r="R726" i="1"/>
  <c r="S726" i="1" s="1"/>
  <c r="R727" i="1"/>
  <c r="S727" i="1" s="1"/>
  <c r="R728" i="1"/>
  <c r="S728" i="1" s="1"/>
  <c r="R729" i="1"/>
  <c r="S729" i="1" s="1"/>
  <c r="R607" i="1"/>
  <c r="S607" i="1" s="1"/>
  <c r="R430" i="1"/>
  <c r="S430" i="1" s="1"/>
  <c r="R431" i="1"/>
  <c r="S431" i="1" s="1"/>
  <c r="R432" i="1"/>
  <c r="S432" i="1" s="1"/>
  <c r="R433" i="1"/>
  <c r="S433" i="1" s="1"/>
  <c r="R434" i="1"/>
  <c r="S434" i="1" s="1"/>
  <c r="R435" i="1"/>
  <c r="S435" i="1" s="1"/>
  <c r="R436" i="1"/>
  <c r="S436" i="1" s="1"/>
  <c r="R437" i="1"/>
  <c r="S437" i="1" s="1"/>
  <c r="R438" i="1"/>
  <c r="S438" i="1" s="1"/>
  <c r="R439" i="1"/>
  <c r="S439" i="1" s="1"/>
  <c r="R440" i="1"/>
  <c r="S440" i="1" s="1"/>
  <c r="R441" i="1"/>
  <c r="S441" i="1" s="1"/>
  <c r="R442" i="1"/>
  <c r="S442" i="1" s="1"/>
  <c r="R443" i="1"/>
  <c r="S443" i="1" s="1"/>
  <c r="R444" i="1"/>
  <c r="S444" i="1" s="1"/>
  <c r="R445" i="1"/>
  <c r="S445" i="1" s="1"/>
  <c r="R446" i="1"/>
  <c r="S446" i="1" s="1"/>
  <c r="R447" i="1"/>
  <c r="S447" i="1" s="1"/>
  <c r="R448" i="1"/>
  <c r="S448" i="1" s="1"/>
  <c r="R449" i="1"/>
  <c r="S449" i="1" s="1"/>
  <c r="R450" i="1"/>
  <c r="S450" i="1" s="1"/>
  <c r="R451" i="1"/>
  <c r="S451" i="1" s="1"/>
  <c r="R452" i="1"/>
  <c r="S452" i="1" s="1"/>
  <c r="R453" i="1"/>
  <c r="S453" i="1" s="1"/>
  <c r="R454" i="1"/>
  <c r="S454" i="1" s="1"/>
  <c r="R455" i="1"/>
  <c r="S455" i="1" s="1"/>
  <c r="R456" i="1"/>
  <c r="S456" i="1" s="1"/>
  <c r="R457" i="1"/>
  <c r="S457" i="1" s="1"/>
  <c r="R458" i="1"/>
  <c r="S458" i="1" s="1"/>
  <c r="R459" i="1"/>
  <c r="S459" i="1" s="1"/>
  <c r="R460" i="1"/>
  <c r="S460" i="1" s="1"/>
  <c r="R461" i="1"/>
  <c r="S461" i="1" s="1"/>
  <c r="R462" i="1"/>
  <c r="S462" i="1" s="1"/>
  <c r="R463" i="1"/>
  <c r="S463" i="1" s="1"/>
  <c r="R464" i="1"/>
  <c r="S464" i="1" s="1"/>
  <c r="R465" i="1"/>
  <c r="S465" i="1" s="1"/>
  <c r="R466" i="1"/>
  <c r="S466" i="1" s="1"/>
  <c r="R467" i="1"/>
  <c r="S467" i="1" s="1"/>
  <c r="R468" i="1"/>
  <c r="S468" i="1" s="1"/>
  <c r="R469" i="1"/>
  <c r="S469" i="1" s="1"/>
  <c r="R470" i="1"/>
  <c r="S470" i="1" s="1"/>
  <c r="R471" i="1"/>
  <c r="S471" i="1" s="1"/>
  <c r="R472" i="1"/>
  <c r="S472" i="1" s="1"/>
  <c r="R473" i="1"/>
  <c r="S473" i="1" s="1"/>
  <c r="R474" i="1"/>
  <c r="S474" i="1" s="1"/>
  <c r="R475" i="1"/>
  <c r="S475" i="1" s="1"/>
  <c r="R476" i="1"/>
  <c r="S476" i="1" s="1"/>
  <c r="R477" i="1"/>
  <c r="S477" i="1" s="1"/>
  <c r="R478" i="1"/>
  <c r="S478" i="1" s="1"/>
  <c r="R479" i="1"/>
  <c r="S479" i="1" s="1"/>
  <c r="R480" i="1"/>
  <c r="S480" i="1" s="1"/>
  <c r="R481" i="1"/>
  <c r="S481" i="1" s="1"/>
  <c r="R482" i="1"/>
  <c r="S482" i="1" s="1"/>
  <c r="R483" i="1"/>
  <c r="S483" i="1" s="1"/>
  <c r="R484" i="1"/>
  <c r="S484" i="1" s="1"/>
  <c r="R485" i="1"/>
  <c r="S485" i="1" s="1"/>
  <c r="R486" i="1"/>
  <c r="S486" i="1" s="1"/>
  <c r="R487" i="1"/>
  <c r="S487" i="1" s="1"/>
  <c r="R488" i="1"/>
  <c r="S488" i="1" s="1"/>
  <c r="R489" i="1"/>
  <c r="S489" i="1" s="1"/>
  <c r="R490" i="1"/>
  <c r="S490" i="1" s="1"/>
  <c r="R491" i="1"/>
  <c r="S491" i="1" s="1"/>
  <c r="R492" i="1"/>
  <c r="S492" i="1" s="1"/>
  <c r="R493" i="1"/>
  <c r="S493" i="1" s="1"/>
  <c r="R494" i="1"/>
  <c r="S494" i="1" s="1"/>
  <c r="R495" i="1"/>
  <c r="S495" i="1" s="1"/>
  <c r="R496" i="1"/>
  <c r="S496" i="1" s="1"/>
  <c r="R497" i="1"/>
  <c r="S497" i="1" s="1"/>
  <c r="R498" i="1"/>
  <c r="S498" i="1" s="1"/>
  <c r="R499" i="1"/>
  <c r="S499" i="1" s="1"/>
  <c r="R500" i="1"/>
  <c r="S500" i="1" s="1"/>
  <c r="R501" i="1"/>
  <c r="S501" i="1" s="1"/>
  <c r="R502" i="1"/>
  <c r="S502" i="1" s="1"/>
  <c r="R503" i="1"/>
  <c r="S503" i="1" s="1"/>
  <c r="R504" i="1"/>
  <c r="S504" i="1" s="1"/>
  <c r="R505" i="1"/>
  <c r="S505" i="1" s="1"/>
  <c r="R506" i="1"/>
  <c r="S506" i="1" s="1"/>
  <c r="R507" i="1"/>
  <c r="S507" i="1" s="1"/>
  <c r="R508" i="1"/>
  <c r="S508" i="1" s="1"/>
  <c r="R509" i="1"/>
  <c r="S509" i="1" s="1"/>
  <c r="R510" i="1"/>
  <c r="S510" i="1" s="1"/>
  <c r="R511" i="1"/>
  <c r="S511" i="1" s="1"/>
  <c r="R512" i="1"/>
  <c r="S512" i="1" s="1"/>
  <c r="R513" i="1"/>
  <c r="S513" i="1" s="1"/>
  <c r="R514" i="1"/>
  <c r="S514" i="1" s="1"/>
  <c r="R515" i="1"/>
  <c r="S515" i="1" s="1"/>
  <c r="R516" i="1"/>
  <c r="S516" i="1" s="1"/>
  <c r="R517" i="1"/>
  <c r="S517" i="1" s="1"/>
  <c r="R518" i="1"/>
  <c r="S518" i="1" s="1"/>
  <c r="R519" i="1"/>
  <c r="S519" i="1" s="1"/>
  <c r="R520" i="1"/>
  <c r="R521" i="1"/>
  <c r="R522" i="1"/>
  <c r="S522" i="1" s="1"/>
  <c r="R523" i="1"/>
  <c r="S523" i="1" s="1"/>
  <c r="R524" i="1"/>
  <c r="S524" i="1" s="1"/>
  <c r="R525" i="1"/>
  <c r="S525" i="1" s="1"/>
  <c r="R526" i="1"/>
  <c r="S526" i="1" s="1"/>
  <c r="R527" i="1"/>
  <c r="S527" i="1" s="1"/>
  <c r="R528" i="1"/>
  <c r="S528" i="1" s="1"/>
  <c r="R529" i="1"/>
  <c r="S529" i="1" s="1"/>
  <c r="R530" i="1"/>
  <c r="S530" i="1" s="1"/>
  <c r="R531" i="1"/>
  <c r="S531" i="1" s="1"/>
  <c r="R532" i="1"/>
  <c r="S532" i="1" s="1"/>
  <c r="R533" i="1"/>
  <c r="S533" i="1" s="1"/>
  <c r="R534" i="1"/>
  <c r="S534" i="1" s="1"/>
  <c r="R535" i="1"/>
  <c r="S535" i="1" s="1"/>
  <c r="R536" i="1"/>
  <c r="S536" i="1" s="1"/>
  <c r="R537" i="1"/>
  <c r="S537" i="1" s="1"/>
  <c r="R538" i="1"/>
  <c r="S538" i="1" s="1"/>
  <c r="R539" i="1"/>
  <c r="S539" i="1" s="1"/>
  <c r="R540" i="1"/>
  <c r="S540" i="1" s="1"/>
  <c r="R541" i="1"/>
  <c r="S541" i="1" s="1"/>
  <c r="R542" i="1"/>
  <c r="S542" i="1" s="1"/>
  <c r="R543" i="1"/>
  <c r="S543" i="1" s="1"/>
  <c r="R544" i="1"/>
  <c r="S544" i="1" s="1"/>
  <c r="R545" i="1"/>
  <c r="S545" i="1" s="1"/>
  <c r="R546" i="1"/>
  <c r="S546" i="1" s="1"/>
  <c r="R547" i="1"/>
  <c r="S547" i="1" s="1"/>
  <c r="R548" i="1"/>
  <c r="S548" i="1" s="1"/>
  <c r="R549" i="1"/>
  <c r="S549" i="1" s="1"/>
  <c r="R550" i="1"/>
  <c r="S550" i="1" s="1"/>
  <c r="R551" i="1"/>
  <c r="S551" i="1" s="1"/>
  <c r="R552" i="1"/>
  <c r="S552" i="1" s="1"/>
  <c r="R553" i="1"/>
  <c r="S553" i="1" s="1"/>
  <c r="R554" i="1"/>
  <c r="S554" i="1" s="1"/>
  <c r="R555" i="1"/>
  <c r="S555" i="1" s="1"/>
  <c r="R556" i="1"/>
  <c r="S556" i="1" s="1"/>
  <c r="R557" i="1"/>
  <c r="S557" i="1" s="1"/>
  <c r="R558" i="1"/>
  <c r="S558" i="1" s="1"/>
  <c r="R559" i="1"/>
  <c r="S559" i="1" s="1"/>
  <c r="R560" i="1"/>
  <c r="S560" i="1" s="1"/>
  <c r="R561" i="1"/>
  <c r="S561" i="1" s="1"/>
  <c r="R562" i="1"/>
  <c r="S562" i="1" s="1"/>
  <c r="R563" i="1"/>
  <c r="S563" i="1" s="1"/>
  <c r="R564" i="1"/>
  <c r="S564" i="1" s="1"/>
  <c r="R565" i="1"/>
  <c r="S565" i="1" s="1"/>
  <c r="R566" i="1"/>
  <c r="S566" i="1" s="1"/>
  <c r="R567" i="1"/>
  <c r="S567" i="1" s="1"/>
  <c r="R568" i="1"/>
  <c r="S568" i="1" s="1"/>
  <c r="R569" i="1"/>
  <c r="R570" i="1"/>
  <c r="R571" i="1"/>
  <c r="S571" i="1" s="1"/>
  <c r="R572" i="1"/>
  <c r="S572" i="1" s="1"/>
  <c r="R573" i="1"/>
  <c r="S573" i="1" s="1"/>
  <c r="R574" i="1"/>
  <c r="S574" i="1" s="1"/>
  <c r="R575" i="1"/>
  <c r="S575" i="1" s="1"/>
  <c r="R576" i="1"/>
  <c r="S576" i="1" s="1"/>
  <c r="R577" i="1"/>
  <c r="S577" i="1" s="1"/>
  <c r="R578" i="1"/>
  <c r="S578" i="1" s="1"/>
  <c r="R579" i="1"/>
  <c r="S579" i="1" s="1"/>
  <c r="R580" i="1"/>
  <c r="S580" i="1" s="1"/>
  <c r="R581" i="1"/>
  <c r="S581" i="1" s="1"/>
  <c r="R582" i="1"/>
  <c r="R583" i="1"/>
  <c r="S583" i="1" s="1"/>
  <c r="R584" i="1"/>
  <c r="S584" i="1" s="1"/>
  <c r="R585" i="1"/>
  <c r="S585" i="1" s="1"/>
  <c r="R586" i="1"/>
  <c r="S586" i="1" s="1"/>
  <c r="R587" i="1"/>
  <c r="S587" i="1" s="1"/>
  <c r="R588" i="1"/>
  <c r="S588" i="1" s="1"/>
  <c r="R589" i="1"/>
  <c r="S589" i="1" s="1"/>
  <c r="R590" i="1"/>
  <c r="S590" i="1" s="1"/>
  <c r="R591" i="1"/>
  <c r="S591" i="1" s="1"/>
  <c r="R592" i="1"/>
  <c r="S592" i="1" s="1"/>
  <c r="R593" i="1"/>
  <c r="S593" i="1" s="1"/>
  <c r="R594" i="1"/>
  <c r="S594" i="1" s="1"/>
  <c r="R595" i="1"/>
  <c r="S595" i="1" s="1"/>
  <c r="R596" i="1"/>
  <c r="S596" i="1" s="1"/>
  <c r="R597" i="1"/>
  <c r="S597" i="1" s="1"/>
  <c r="R598" i="1"/>
  <c r="S598" i="1" s="1"/>
  <c r="R599" i="1"/>
  <c r="S599" i="1" s="1"/>
  <c r="R600" i="1"/>
  <c r="S600" i="1" s="1"/>
  <c r="R601" i="1"/>
  <c r="S601" i="1" s="1"/>
  <c r="R602" i="1"/>
  <c r="S602" i="1" s="1"/>
  <c r="R603" i="1"/>
  <c r="S603" i="1" s="1"/>
  <c r="R604" i="1"/>
  <c r="S604" i="1" s="1"/>
  <c r="R605" i="1"/>
  <c r="S605" i="1" s="1"/>
  <c r="R429" i="1"/>
  <c r="S429" i="1" s="1"/>
  <c r="R304" i="1"/>
  <c r="S304" i="1" s="1"/>
  <c r="R340" i="1"/>
  <c r="S340" i="1" s="1"/>
  <c r="R225" i="1"/>
  <c r="S225" i="1" s="1"/>
  <c r="R226" i="1"/>
  <c r="R227" i="1"/>
  <c r="S227" i="1" s="1"/>
  <c r="R228" i="1"/>
  <c r="S228" i="1" s="1"/>
  <c r="R229" i="1"/>
  <c r="S229" i="1" s="1"/>
  <c r="R230" i="1"/>
  <c r="S230" i="1" s="1"/>
  <c r="R231" i="1"/>
  <c r="S231" i="1" s="1"/>
  <c r="R232" i="1"/>
  <c r="R233" i="1"/>
  <c r="S233" i="1" s="1"/>
  <c r="R234" i="1"/>
  <c r="R235" i="1"/>
  <c r="S235" i="1" s="1"/>
  <c r="R236" i="1"/>
  <c r="S236" i="1" s="1"/>
  <c r="R237" i="1"/>
  <c r="S237" i="1" s="1"/>
  <c r="R238" i="1"/>
  <c r="S238" i="1" s="1"/>
  <c r="R239" i="1"/>
  <c r="S239" i="1" s="1"/>
  <c r="R240" i="1"/>
  <c r="S240" i="1" s="1"/>
  <c r="R241" i="1"/>
  <c r="S241" i="1" s="1"/>
  <c r="R242" i="1"/>
  <c r="S242" i="1" s="1"/>
  <c r="R243" i="1"/>
  <c r="S243" i="1" s="1"/>
  <c r="R244" i="1"/>
  <c r="R245" i="1"/>
  <c r="S245" i="1" s="1"/>
  <c r="R246" i="1"/>
  <c r="S246" i="1" s="1"/>
  <c r="R247" i="1"/>
  <c r="S247" i="1" s="1"/>
  <c r="R248" i="1"/>
  <c r="S248" i="1" s="1"/>
  <c r="R249" i="1"/>
  <c r="S249" i="1" s="1"/>
  <c r="R250" i="1"/>
  <c r="S250" i="1" s="1"/>
  <c r="R251" i="1"/>
  <c r="S251" i="1" s="1"/>
  <c r="R252" i="1"/>
  <c r="S252" i="1" s="1"/>
  <c r="R253" i="1"/>
  <c r="S253" i="1" s="1"/>
  <c r="R254" i="1"/>
  <c r="S254" i="1" s="1"/>
  <c r="R255" i="1"/>
  <c r="S255" i="1" s="1"/>
  <c r="R256" i="1"/>
  <c r="S256" i="1" s="1"/>
  <c r="R257" i="1"/>
  <c r="S257" i="1" s="1"/>
  <c r="R258" i="1"/>
  <c r="S258" i="1" s="1"/>
  <c r="R259" i="1"/>
  <c r="S259" i="1" s="1"/>
  <c r="R260" i="1"/>
  <c r="S260" i="1" s="1"/>
  <c r="R261" i="1"/>
  <c r="S261" i="1" s="1"/>
  <c r="R262" i="1"/>
  <c r="S262" i="1" s="1"/>
  <c r="R263" i="1"/>
  <c r="S263" i="1" s="1"/>
  <c r="R264" i="1"/>
  <c r="S264" i="1" s="1"/>
  <c r="R265" i="1"/>
  <c r="S265" i="1" s="1"/>
  <c r="R266" i="1"/>
  <c r="S266" i="1" s="1"/>
  <c r="R267" i="1"/>
  <c r="S267" i="1" s="1"/>
  <c r="R268" i="1"/>
  <c r="S268" i="1" s="1"/>
  <c r="R269" i="1"/>
  <c r="S269" i="1" s="1"/>
  <c r="R270" i="1"/>
  <c r="S270" i="1" s="1"/>
  <c r="R271" i="1"/>
  <c r="S271" i="1" s="1"/>
  <c r="R272" i="1"/>
  <c r="S272" i="1" s="1"/>
  <c r="R273" i="1"/>
  <c r="S273" i="1" s="1"/>
  <c r="R274" i="1"/>
  <c r="S274" i="1" s="1"/>
  <c r="R275" i="1"/>
  <c r="S275" i="1" s="1"/>
  <c r="R276" i="1"/>
  <c r="S276" i="1" s="1"/>
  <c r="R277" i="1"/>
  <c r="S277" i="1" s="1"/>
  <c r="R278" i="1"/>
  <c r="S278" i="1" s="1"/>
  <c r="R279" i="1"/>
  <c r="S279" i="1" s="1"/>
  <c r="R280" i="1"/>
  <c r="S280" i="1" s="1"/>
  <c r="R281" i="1"/>
  <c r="S281" i="1" s="1"/>
  <c r="R282" i="1"/>
  <c r="S282" i="1" s="1"/>
  <c r="R283" i="1"/>
  <c r="S283" i="1" s="1"/>
  <c r="R284" i="1"/>
  <c r="S284" i="1" s="1"/>
  <c r="R285" i="1"/>
  <c r="S285" i="1" s="1"/>
  <c r="R286" i="1"/>
  <c r="S286" i="1" s="1"/>
  <c r="R287" i="1"/>
  <c r="S287" i="1" s="1"/>
  <c r="R288" i="1"/>
  <c r="S288" i="1" s="1"/>
  <c r="R289" i="1"/>
  <c r="S289" i="1" s="1"/>
  <c r="R290" i="1"/>
  <c r="S290" i="1" s="1"/>
  <c r="R291" i="1"/>
  <c r="S291" i="1" s="1"/>
  <c r="R292" i="1"/>
  <c r="S292" i="1" s="1"/>
  <c r="R293" i="1"/>
  <c r="S293" i="1" s="1"/>
  <c r="R294" i="1"/>
  <c r="S294" i="1" s="1"/>
  <c r="R295" i="1"/>
  <c r="S295" i="1" s="1"/>
  <c r="R296" i="1"/>
  <c r="S296" i="1" s="1"/>
  <c r="R297" i="1"/>
  <c r="S297" i="1" s="1"/>
  <c r="R298" i="1"/>
  <c r="S298" i="1" s="1"/>
  <c r="R299" i="1"/>
  <c r="S299" i="1" s="1"/>
  <c r="R300" i="1"/>
  <c r="S300" i="1" s="1"/>
  <c r="R301" i="1"/>
  <c r="S301" i="1" s="1"/>
  <c r="R302" i="1"/>
  <c r="S302" i="1" s="1"/>
  <c r="R303" i="1"/>
  <c r="S303" i="1" s="1"/>
  <c r="R305" i="1"/>
  <c r="R306" i="1"/>
  <c r="R307" i="1"/>
  <c r="R308" i="1"/>
  <c r="R309" i="1"/>
  <c r="R310" i="1"/>
  <c r="R311" i="1"/>
  <c r="S311" i="1" s="1"/>
  <c r="R312" i="1"/>
  <c r="S312" i="1" s="1"/>
  <c r="R313" i="1"/>
  <c r="S313" i="1" s="1"/>
  <c r="R314" i="1"/>
  <c r="S314" i="1" s="1"/>
  <c r="R315" i="1"/>
  <c r="S315" i="1" s="1"/>
  <c r="R316" i="1"/>
  <c r="S316" i="1" s="1"/>
  <c r="R317" i="1"/>
  <c r="S317" i="1" s="1"/>
  <c r="R318" i="1"/>
  <c r="S318" i="1" s="1"/>
  <c r="R319" i="1"/>
  <c r="S319" i="1" s="1"/>
  <c r="R320" i="1"/>
  <c r="S320" i="1" s="1"/>
  <c r="R321" i="1"/>
  <c r="S321" i="1" s="1"/>
  <c r="R322" i="1"/>
  <c r="S322" i="1" s="1"/>
  <c r="R323" i="1"/>
  <c r="S323" i="1" s="1"/>
  <c r="R324" i="1"/>
  <c r="S324" i="1" s="1"/>
  <c r="R325" i="1"/>
  <c r="S325" i="1" s="1"/>
  <c r="R326" i="1"/>
  <c r="S326" i="1" s="1"/>
  <c r="R327" i="1"/>
  <c r="S327" i="1" s="1"/>
  <c r="R328" i="1"/>
  <c r="S328" i="1" s="1"/>
  <c r="R329" i="1"/>
  <c r="S329" i="1" s="1"/>
  <c r="R330" i="1"/>
  <c r="S330" i="1" s="1"/>
  <c r="R331" i="1"/>
  <c r="S331" i="1" s="1"/>
  <c r="R332" i="1"/>
  <c r="S332" i="1" s="1"/>
  <c r="R333" i="1"/>
  <c r="S333" i="1" s="1"/>
  <c r="R334" i="1"/>
  <c r="S334" i="1" s="1"/>
  <c r="R335" i="1"/>
  <c r="R336" i="1"/>
  <c r="S336" i="1" s="1"/>
  <c r="R337" i="1"/>
  <c r="S337" i="1" s="1"/>
  <c r="R338" i="1"/>
  <c r="S338" i="1" s="1"/>
  <c r="R339" i="1"/>
  <c r="S339" i="1" s="1"/>
  <c r="R345" i="1"/>
  <c r="S345" i="1" s="1"/>
  <c r="R346" i="1"/>
  <c r="S346" i="1" s="1"/>
  <c r="R347" i="1"/>
  <c r="S347" i="1" s="1"/>
  <c r="R348" i="1"/>
  <c r="S348" i="1" s="1"/>
  <c r="R349" i="1"/>
  <c r="S349" i="1" s="1"/>
  <c r="R350" i="1"/>
  <c r="S350" i="1" s="1"/>
  <c r="R351" i="1"/>
  <c r="S351" i="1" s="1"/>
  <c r="R352" i="1"/>
  <c r="S352" i="1" s="1"/>
  <c r="R353" i="1"/>
  <c r="S353" i="1" s="1"/>
  <c r="R354" i="1"/>
  <c r="S354" i="1" s="1"/>
  <c r="R355" i="1"/>
  <c r="S355" i="1" s="1"/>
  <c r="R356" i="1"/>
  <c r="S356" i="1" s="1"/>
  <c r="R357" i="1"/>
  <c r="S357" i="1" s="1"/>
  <c r="R358" i="1"/>
  <c r="S358" i="1" s="1"/>
  <c r="R359" i="1"/>
  <c r="S359" i="1" s="1"/>
  <c r="R360" i="1"/>
  <c r="S360" i="1" s="1"/>
  <c r="R361" i="1"/>
  <c r="S361" i="1" s="1"/>
  <c r="R362" i="1"/>
  <c r="S362" i="1" s="1"/>
  <c r="R363" i="1"/>
  <c r="S363" i="1" s="1"/>
  <c r="R364" i="1"/>
  <c r="S364" i="1" s="1"/>
  <c r="R365" i="1"/>
  <c r="S365" i="1" s="1"/>
  <c r="R366" i="1"/>
  <c r="S366" i="1" s="1"/>
  <c r="R367" i="1"/>
  <c r="S367" i="1" s="1"/>
  <c r="R368" i="1"/>
  <c r="S368" i="1" s="1"/>
  <c r="R369" i="1"/>
  <c r="S369" i="1" s="1"/>
  <c r="R370" i="1"/>
  <c r="S370" i="1" s="1"/>
  <c r="R371" i="1"/>
  <c r="S371" i="1" s="1"/>
  <c r="R372" i="1"/>
  <c r="S372" i="1" s="1"/>
  <c r="R373" i="1"/>
  <c r="S373" i="1" s="1"/>
  <c r="R374" i="1"/>
  <c r="S374" i="1" s="1"/>
  <c r="R375" i="1"/>
  <c r="S375" i="1" s="1"/>
  <c r="R376" i="1"/>
  <c r="S376" i="1" s="1"/>
  <c r="R377" i="1"/>
  <c r="S377" i="1" s="1"/>
  <c r="R378" i="1"/>
  <c r="S378" i="1" s="1"/>
  <c r="R379" i="1"/>
  <c r="S379" i="1" s="1"/>
  <c r="R380" i="1"/>
  <c r="S380" i="1" s="1"/>
  <c r="R381" i="1"/>
  <c r="S381" i="1" s="1"/>
  <c r="R382" i="1"/>
  <c r="S382" i="1" s="1"/>
  <c r="R383" i="1"/>
  <c r="S383" i="1" s="1"/>
  <c r="R384" i="1"/>
  <c r="S384" i="1" s="1"/>
  <c r="R385" i="1"/>
  <c r="S385" i="1" s="1"/>
  <c r="R386" i="1"/>
  <c r="S386" i="1" s="1"/>
  <c r="R387" i="1"/>
  <c r="S387" i="1" s="1"/>
  <c r="R388" i="1"/>
  <c r="S388" i="1" s="1"/>
  <c r="R389" i="1"/>
  <c r="S389" i="1" s="1"/>
  <c r="R390" i="1"/>
  <c r="S390" i="1" s="1"/>
  <c r="R391" i="1"/>
  <c r="S391" i="1" s="1"/>
  <c r="R392" i="1"/>
  <c r="S392" i="1" s="1"/>
  <c r="R393" i="1"/>
  <c r="S393" i="1" s="1"/>
  <c r="R394" i="1"/>
  <c r="S394" i="1" s="1"/>
  <c r="R395" i="1"/>
  <c r="S395" i="1" s="1"/>
  <c r="R396" i="1"/>
  <c r="S396" i="1" s="1"/>
  <c r="R397" i="1"/>
  <c r="S397" i="1" s="1"/>
  <c r="R398" i="1"/>
  <c r="S398" i="1" s="1"/>
  <c r="R399" i="1"/>
  <c r="S399" i="1" s="1"/>
  <c r="R400" i="1"/>
  <c r="S400" i="1" s="1"/>
  <c r="R401" i="1"/>
  <c r="S401" i="1" s="1"/>
  <c r="R402" i="1"/>
  <c r="S402" i="1" s="1"/>
  <c r="R403" i="1"/>
  <c r="S403" i="1" s="1"/>
  <c r="R404" i="1"/>
  <c r="S404" i="1" s="1"/>
  <c r="R405" i="1"/>
  <c r="S405" i="1" s="1"/>
  <c r="R406" i="1"/>
  <c r="S406" i="1" s="1"/>
  <c r="R407" i="1"/>
  <c r="S407" i="1" s="1"/>
  <c r="R408" i="1"/>
  <c r="S408" i="1" s="1"/>
  <c r="R409" i="1"/>
  <c r="S409" i="1" s="1"/>
  <c r="R410" i="1"/>
  <c r="S410" i="1" s="1"/>
  <c r="R411" i="1"/>
  <c r="S411" i="1" s="1"/>
  <c r="R412" i="1"/>
  <c r="S412" i="1" s="1"/>
  <c r="R413" i="1"/>
  <c r="S413" i="1" s="1"/>
  <c r="R414" i="1"/>
  <c r="S414" i="1" s="1"/>
  <c r="R415" i="1"/>
  <c r="S415" i="1" s="1"/>
  <c r="R416" i="1"/>
  <c r="S416" i="1" s="1"/>
  <c r="R417" i="1"/>
  <c r="R418" i="1"/>
  <c r="S418" i="1" s="1"/>
  <c r="R419" i="1"/>
  <c r="S419" i="1" s="1"/>
  <c r="R420" i="1"/>
  <c r="S420" i="1" s="1"/>
  <c r="R421" i="1"/>
  <c r="S421" i="1" s="1"/>
  <c r="R422" i="1"/>
  <c r="S422" i="1" s="1"/>
  <c r="R423" i="1"/>
  <c r="R424" i="1"/>
  <c r="R425" i="1"/>
  <c r="R426" i="1"/>
  <c r="R224" i="1"/>
  <c r="R136" i="1"/>
  <c r="S136" i="1" s="1"/>
  <c r="R137" i="1"/>
  <c r="S137" i="1" s="1"/>
  <c r="R138" i="1"/>
  <c r="S138" i="1" s="1"/>
  <c r="R139" i="1"/>
  <c r="S139" i="1" s="1"/>
  <c r="R140" i="1"/>
  <c r="S140" i="1" s="1"/>
  <c r="R141" i="1"/>
  <c r="S141" i="1" s="1"/>
  <c r="R142" i="1"/>
  <c r="S142" i="1" s="1"/>
  <c r="R143" i="1"/>
  <c r="R144" i="1"/>
  <c r="R145" i="1"/>
  <c r="S145" i="1" s="1"/>
  <c r="R146" i="1"/>
  <c r="R147" i="1"/>
  <c r="R148" i="1"/>
  <c r="R149" i="1"/>
  <c r="R150" i="1"/>
  <c r="S150" i="1" s="1"/>
  <c r="R151" i="1"/>
  <c r="S151" i="1" s="1"/>
  <c r="R152" i="1"/>
  <c r="S152" i="1" s="1"/>
  <c r="R153" i="1"/>
  <c r="S153" i="1" s="1"/>
  <c r="R154" i="1"/>
  <c r="S154" i="1" s="1"/>
  <c r="R155" i="1"/>
  <c r="S155" i="1" s="1"/>
  <c r="R156" i="1"/>
  <c r="S156" i="1" s="1"/>
  <c r="R157" i="1"/>
  <c r="S157" i="1" s="1"/>
  <c r="R158" i="1"/>
  <c r="S158" i="1" s="1"/>
  <c r="R159" i="1"/>
  <c r="S159" i="1" s="1"/>
  <c r="R160" i="1"/>
  <c r="S160" i="1" s="1"/>
  <c r="R161" i="1"/>
  <c r="S161" i="1" s="1"/>
  <c r="R162" i="1"/>
  <c r="S162" i="1" s="1"/>
  <c r="R163" i="1"/>
  <c r="R164" i="1"/>
  <c r="S164" i="1" s="1"/>
  <c r="R165" i="1"/>
  <c r="S165" i="1" s="1"/>
  <c r="R166" i="1"/>
  <c r="S166" i="1" s="1"/>
  <c r="R167" i="1"/>
  <c r="S167" i="1" s="1"/>
  <c r="R168" i="1"/>
  <c r="S168" i="1" s="1"/>
  <c r="R169" i="1"/>
  <c r="S169" i="1" s="1"/>
  <c r="R170" i="1"/>
  <c r="S170" i="1" s="1"/>
  <c r="R171" i="1"/>
  <c r="S171" i="1" s="1"/>
  <c r="R172" i="1"/>
  <c r="S172" i="1" s="1"/>
  <c r="R173" i="1"/>
  <c r="S173" i="1" s="1"/>
  <c r="R174" i="1"/>
  <c r="S174" i="1" s="1"/>
  <c r="R175" i="1"/>
  <c r="S175" i="1" s="1"/>
  <c r="R176" i="1"/>
  <c r="S176" i="1" s="1"/>
  <c r="R177" i="1"/>
  <c r="S177" i="1" s="1"/>
  <c r="R178" i="1"/>
  <c r="S178" i="1" s="1"/>
  <c r="R179" i="1"/>
  <c r="S179" i="1" s="1"/>
  <c r="R180" i="1"/>
  <c r="S180" i="1" s="1"/>
  <c r="R181" i="1"/>
  <c r="S181" i="1" s="1"/>
  <c r="R182" i="1"/>
  <c r="S182" i="1" s="1"/>
  <c r="R183" i="1"/>
  <c r="R184" i="1"/>
  <c r="S184" i="1" s="1"/>
  <c r="R185" i="1"/>
  <c r="S185" i="1" s="1"/>
  <c r="R186" i="1"/>
  <c r="S186" i="1" s="1"/>
  <c r="R187" i="1"/>
  <c r="S187" i="1" s="1"/>
  <c r="R188" i="1"/>
  <c r="S188" i="1" s="1"/>
  <c r="R189" i="1"/>
  <c r="S189" i="1" s="1"/>
  <c r="R190" i="1"/>
  <c r="S190" i="1" s="1"/>
  <c r="R191" i="1"/>
  <c r="S191" i="1" s="1"/>
  <c r="R192" i="1"/>
  <c r="S192" i="1" s="1"/>
  <c r="R193" i="1"/>
  <c r="S193" i="1" s="1"/>
  <c r="R194" i="1"/>
  <c r="S194" i="1" s="1"/>
  <c r="R195" i="1"/>
  <c r="S195" i="1" s="1"/>
  <c r="R196" i="1"/>
  <c r="S196" i="1" s="1"/>
  <c r="R197" i="1"/>
  <c r="S197" i="1" s="1"/>
  <c r="R198" i="1"/>
  <c r="S198" i="1" s="1"/>
  <c r="R199" i="1"/>
  <c r="S199" i="1" s="1"/>
  <c r="R200" i="1"/>
  <c r="S200" i="1" s="1"/>
  <c r="R201" i="1"/>
  <c r="S201" i="1" s="1"/>
  <c r="R202" i="1"/>
  <c r="S202" i="1" s="1"/>
  <c r="R203" i="1"/>
  <c r="S203" i="1" s="1"/>
  <c r="R204" i="1"/>
  <c r="S204" i="1" s="1"/>
  <c r="R205" i="1"/>
  <c r="S205" i="1" s="1"/>
  <c r="R206" i="1"/>
  <c r="S206" i="1" s="1"/>
  <c r="R207" i="1"/>
  <c r="S207" i="1" s="1"/>
  <c r="R208" i="1"/>
  <c r="S208" i="1" s="1"/>
  <c r="R209" i="1"/>
  <c r="S209" i="1" s="1"/>
  <c r="R210" i="1"/>
  <c r="S210" i="1" s="1"/>
  <c r="R211" i="1"/>
  <c r="S211" i="1" s="1"/>
  <c r="R212" i="1"/>
  <c r="S212" i="1" s="1"/>
  <c r="R213" i="1"/>
  <c r="S213" i="1" s="1"/>
  <c r="R214" i="1"/>
  <c r="S214" i="1" s="1"/>
  <c r="R215" i="1"/>
  <c r="S215" i="1" s="1"/>
  <c r="R216" i="1"/>
  <c r="S216" i="1" s="1"/>
  <c r="R217" i="1"/>
  <c r="S217" i="1" s="1"/>
  <c r="R218" i="1"/>
  <c r="S218" i="1" s="1"/>
  <c r="R219" i="1"/>
  <c r="S219" i="1" s="1"/>
  <c r="R220" i="1"/>
  <c r="S220" i="1" s="1"/>
  <c r="R221" i="1"/>
  <c r="S221" i="1" s="1"/>
  <c r="R222" i="1"/>
  <c r="R135" i="1"/>
  <c r="S135" i="1" s="1"/>
  <c r="R13" i="1"/>
  <c r="S13" i="1" s="1"/>
  <c r="R14" i="1"/>
  <c r="S14" i="1" s="1"/>
  <c r="R15" i="1"/>
  <c r="S15" i="1" s="1"/>
  <c r="R16" i="1"/>
  <c r="S16" i="1" s="1"/>
  <c r="R17" i="1"/>
  <c r="S17" i="1" s="1"/>
  <c r="R18" i="1"/>
  <c r="S18" i="1" s="1"/>
  <c r="R19" i="1"/>
  <c r="S19" i="1" s="1"/>
  <c r="R20" i="1"/>
  <c r="S20" i="1" s="1"/>
  <c r="R21" i="1"/>
  <c r="S21" i="1" s="1"/>
  <c r="R22" i="1"/>
  <c r="S22" i="1" s="1"/>
  <c r="R23" i="1"/>
  <c r="S23" i="1" s="1"/>
  <c r="R24" i="1"/>
  <c r="S24" i="1" s="1"/>
  <c r="R25" i="1"/>
  <c r="S25" i="1" s="1"/>
  <c r="R26" i="1"/>
  <c r="S26" i="1" s="1"/>
  <c r="R27" i="1"/>
  <c r="S27" i="1" s="1"/>
  <c r="R28" i="1"/>
  <c r="S28" i="1" s="1"/>
  <c r="R29" i="1"/>
  <c r="S29" i="1" s="1"/>
  <c r="R30" i="1"/>
  <c r="S30" i="1" s="1"/>
  <c r="R31" i="1"/>
  <c r="S31" i="1" s="1"/>
  <c r="R32" i="1"/>
  <c r="S32" i="1" s="1"/>
  <c r="R33" i="1"/>
  <c r="S33" i="1" s="1"/>
  <c r="R34" i="1"/>
  <c r="S34" i="1" s="1"/>
  <c r="R35" i="1"/>
  <c r="S35" i="1" s="1"/>
  <c r="R36" i="1"/>
  <c r="S36" i="1" s="1"/>
  <c r="R37" i="1"/>
  <c r="S37" i="1" s="1"/>
  <c r="R38" i="1"/>
  <c r="S38" i="1" s="1"/>
  <c r="R39" i="1"/>
  <c r="S39" i="1" s="1"/>
  <c r="R40" i="1"/>
  <c r="S40" i="1" s="1"/>
  <c r="R41" i="1"/>
  <c r="S41" i="1" s="1"/>
  <c r="R42" i="1"/>
  <c r="S42" i="1" s="1"/>
  <c r="R43" i="1"/>
  <c r="S43" i="1" s="1"/>
  <c r="R44" i="1"/>
  <c r="S44" i="1" s="1"/>
  <c r="R45" i="1"/>
  <c r="S45" i="1" s="1"/>
  <c r="R46" i="1"/>
  <c r="S46" i="1" s="1"/>
  <c r="R47" i="1"/>
  <c r="S47" i="1" s="1"/>
  <c r="R48" i="1"/>
  <c r="S48" i="1" s="1"/>
  <c r="R49" i="1"/>
  <c r="S49" i="1" s="1"/>
  <c r="R50" i="1"/>
  <c r="S50" i="1" s="1"/>
  <c r="R51" i="1"/>
  <c r="S51" i="1" s="1"/>
  <c r="R52" i="1"/>
  <c r="S52" i="1" s="1"/>
  <c r="R53" i="1"/>
  <c r="S53" i="1" s="1"/>
  <c r="R54" i="1"/>
  <c r="S54" i="1" s="1"/>
  <c r="R55" i="1"/>
  <c r="S55" i="1" s="1"/>
  <c r="R56" i="1"/>
  <c r="S56" i="1" s="1"/>
  <c r="R57" i="1"/>
  <c r="S57" i="1" s="1"/>
  <c r="R58" i="1"/>
  <c r="S58" i="1" s="1"/>
  <c r="R59" i="1"/>
  <c r="S59" i="1" s="1"/>
  <c r="R60" i="1"/>
  <c r="S60" i="1" s="1"/>
  <c r="R61" i="1"/>
  <c r="S61" i="1" s="1"/>
  <c r="R62" i="1"/>
  <c r="S62" i="1" s="1"/>
  <c r="R63" i="1"/>
  <c r="S63" i="1" s="1"/>
  <c r="R64" i="1"/>
  <c r="S64" i="1" s="1"/>
  <c r="R65" i="1"/>
  <c r="S65" i="1" s="1"/>
  <c r="R66" i="1"/>
  <c r="S66" i="1" s="1"/>
  <c r="R67" i="1"/>
  <c r="S67" i="1" s="1"/>
  <c r="R68" i="1"/>
  <c r="S68" i="1" s="1"/>
  <c r="R69" i="1"/>
  <c r="S69" i="1" s="1"/>
  <c r="R70" i="1"/>
  <c r="S70" i="1" s="1"/>
  <c r="R71" i="1"/>
  <c r="S71" i="1" s="1"/>
  <c r="R72" i="1"/>
  <c r="S72" i="1" s="1"/>
  <c r="R73" i="1"/>
  <c r="S73" i="1" s="1"/>
  <c r="R74" i="1"/>
  <c r="S74" i="1" s="1"/>
  <c r="R75" i="1"/>
  <c r="S75" i="1" s="1"/>
  <c r="R76" i="1"/>
  <c r="S76" i="1" s="1"/>
  <c r="R77" i="1"/>
  <c r="S77" i="1" s="1"/>
  <c r="R78" i="1"/>
  <c r="S78" i="1" s="1"/>
  <c r="R79" i="1"/>
  <c r="S79" i="1" s="1"/>
  <c r="R80" i="1"/>
  <c r="S80" i="1" s="1"/>
  <c r="R81" i="1"/>
  <c r="S81" i="1" s="1"/>
  <c r="R82" i="1"/>
  <c r="S82" i="1" s="1"/>
  <c r="R83" i="1"/>
  <c r="S83" i="1" s="1"/>
  <c r="R84" i="1"/>
  <c r="S84" i="1" s="1"/>
  <c r="R85" i="1"/>
  <c r="S85" i="1" s="1"/>
  <c r="R86" i="1"/>
  <c r="S86" i="1" s="1"/>
  <c r="R87" i="1"/>
  <c r="S87" i="1" s="1"/>
  <c r="R88" i="1"/>
  <c r="S88" i="1" s="1"/>
  <c r="R89" i="1"/>
  <c r="S89" i="1" s="1"/>
  <c r="R90" i="1"/>
  <c r="S90" i="1" s="1"/>
  <c r="R91" i="1"/>
  <c r="S91" i="1" s="1"/>
  <c r="R92" i="1"/>
  <c r="S92" i="1" s="1"/>
  <c r="R93" i="1"/>
  <c r="S93" i="1" s="1"/>
  <c r="R94" i="1"/>
  <c r="S94" i="1" s="1"/>
  <c r="R95" i="1"/>
  <c r="S95" i="1" s="1"/>
  <c r="R96" i="1"/>
  <c r="S96" i="1" s="1"/>
  <c r="R97" i="1"/>
  <c r="S97" i="1" s="1"/>
  <c r="R98" i="1"/>
  <c r="S98" i="1" s="1"/>
  <c r="R99" i="1"/>
  <c r="S99" i="1" s="1"/>
  <c r="R100" i="1"/>
  <c r="S100" i="1" s="1"/>
  <c r="R101" i="1"/>
  <c r="S101" i="1" s="1"/>
  <c r="R102" i="1"/>
  <c r="S102" i="1" s="1"/>
  <c r="R103" i="1"/>
  <c r="S103" i="1" s="1"/>
  <c r="R104" i="1"/>
  <c r="S104" i="1" s="1"/>
  <c r="R105" i="1"/>
  <c r="S105" i="1" s="1"/>
  <c r="R106" i="1"/>
  <c r="S106" i="1" s="1"/>
  <c r="R107" i="1"/>
  <c r="S107" i="1" s="1"/>
  <c r="R108" i="1"/>
  <c r="S108" i="1" s="1"/>
  <c r="R109" i="1"/>
  <c r="R110" i="1"/>
  <c r="S110" i="1" s="1"/>
  <c r="R111" i="1"/>
  <c r="S111" i="1" s="1"/>
  <c r="R112" i="1"/>
  <c r="S112" i="1" s="1"/>
  <c r="R113" i="1"/>
  <c r="S113" i="1" s="1"/>
  <c r="R114" i="1"/>
  <c r="S114" i="1" s="1"/>
  <c r="R115" i="1"/>
  <c r="R116" i="1"/>
  <c r="S116" i="1" s="1"/>
  <c r="R117" i="1"/>
  <c r="S117" i="1" s="1"/>
  <c r="R118" i="1"/>
  <c r="S118" i="1" s="1"/>
  <c r="R119" i="1"/>
  <c r="R120" i="1"/>
  <c r="S120" i="1" s="1"/>
  <c r="R121" i="1"/>
  <c r="S121" i="1" s="1"/>
  <c r="R122" i="1"/>
  <c r="S122" i="1" s="1"/>
  <c r="R123" i="1"/>
  <c r="S123" i="1" s="1"/>
  <c r="R124" i="1"/>
  <c r="S124" i="1" s="1"/>
  <c r="R125" i="1"/>
  <c r="S125" i="1" s="1"/>
  <c r="R126" i="1"/>
  <c r="S126" i="1" s="1"/>
  <c r="R127" i="1"/>
  <c r="S127" i="1" s="1"/>
  <c r="R128" i="1"/>
  <c r="S128" i="1" s="1"/>
  <c r="R129" i="1"/>
  <c r="S129" i="1" s="1"/>
  <c r="R130" i="1"/>
  <c r="S130" i="1" s="1"/>
  <c r="R131" i="1"/>
  <c r="S131" i="1" s="1"/>
  <c r="R132" i="1"/>
  <c r="S132" i="1" s="1"/>
  <c r="R133" i="1"/>
  <c r="S133" i="1" s="1"/>
  <c r="R12" i="1"/>
  <c r="S12" i="1" s="1"/>
  <c r="L1913" i="1" l="1"/>
  <c r="J1913" i="1"/>
  <c r="O1823" i="1"/>
  <c r="R1823" i="1" s="1"/>
  <c r="S1823" i="1" s="1"/>
  <c r="O1822" i="1"/>
  <c r="R1822" i="1" s="1"/>
  <c r="S1822" i="1" s="1"/>
  <c r="O1821" i="1"/>
  <c r="R1821" i="1" s="1"/>
  <c r="S1821" i="1" s="1"/>
  <c r="O1820" i="1"/>
  <c r="L1714" i="1"/>
  <c r="J1714" i="1"/>
  <c r="A1660" i="1"/>
  <c r="A1661" i="1" s="1"/>
  <c r="A1664" i="1" s="1"/>
  <c r="A1675" i="1" s="1"/>
  <c r="A1684" i="1" s="1"/>
  <c r="A1702" i="1" s="1"/>
  <c r="A1711" i="1" s="1"/>
  <c r="A1715" i="1" s="1"/>
  <c r="A1717" i="1" s="1"/>
  <c r="A1753" i="1" s="1"/>
  <c r="A1764" i="1" s="1"/>
  <c r="A1766" i="1" s="1"/>
  <c r="A1801" i="1" s="1"/>
  <c r="A1810" i="1" s="1"/>
  <c r="A1820" i="1" s="1"/>
  <c r="A1822" i="1" s="1"/>
  <c r="A1825" i="1" s="1"/>
  <c r="A1843" i="1" s="1"/>
  <c r="A1855" i="1" s="1"/>
  <c r="A1865" i="1" s="1"/>
  <c r="A1878" i="1" s="1"/>
  <c r="A1891" i="1" s="1"/>
  <c r="A1895" i="1" s="1"/>
  <c r="A1899" i="1" s="1"/>
  <c r="A1901" i="1" s="1"/>
  <c r="A1903" i="1" s="1"/>
  <c r="A1909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R1820" i="1" l="1"/>
  <c r="S1820" i="1" s="1"/>
  <c r="L1589" i="1" l="1"/>
  <c r="L1581" i="1"/>
  <c r="L1580" i="1"/>
  <c r="L1570" i="1"/>
  <c r="L1546" i="1"/>
  <c r="L1541" i="1"/>
  <c r="L1532" i="1"/>
  <c r="L1529" i="1"/>
  <c r="L1507" i="1"/>
  <c r="L1493" i="1"/>
  <c r="L1478" i="1"/>
  <c r="L1468" i="1"/>
  <c r="L1465" i="1"/>
  <c r="L1457" i="1"/>
  <c r="L1448" i="1"/>
  <c r="L1444" i="1"/>
  <c r="L1439" i="1"/>
  <c r="L1429" i="1"/>
  <c r="L1418" i="1"/>
  <c r="L1409" i="1"/>
  <c r="L1402" i="1"/>
  <c r="J1444" i="1" l="1"/>
  <c r="K1409" i="1"/>
  <c r="A1252" i="1"/>
  <c r="A1418" i="1" s="1"/>
  <c r="A1448" i="1" s="1"/>
  <c r="A1465" i="1" s="1"/>
  <c r="A1474" i="1" s="1"/>
  <c r="A1493" i="1" s="1"/>
  <c r="A1507" i="1" s="1"/>
  <c r="A1529" i="1" s="1"/>
  <c r="A1541" i="1" s="1"/>
  <c r="A1559" i="1" s="1"/>
  <c r="A1580" i="1" s="1"/>
  <c r="A1589" i="1" s="1"/>
  <c r="A1147" i="1" l="1"/>
  <c r="A1200" i="1"/>
  <c r="A1204" i="1" s="1"/>
  <c r="A1207" i="1" s="1"/>
  <c r="A1219" i="1" s="1"/>
  <c r="A1236" i="1" s="1"/>
  <c r="A1245" i="1" s="1"/>
  <c r="L1245" i="1"/>
  <c r="L1236" i="1"/>
  <c r="L1219" i="1"/>
  <c r="L1207" i="1"/>
  <c r="L1204" i="1"/>
  <c r="L1179" i="1"/>
  <c r="L1147" i="1"/>
  <c r="L1140" i="1"/>
  <c r="L1130" i="1"/>
  <c r="L1118" i="1"/>
  <c r="L1089" i="1"/>
  <c r="L1068" i="1"/>
  <c r="L1063" i="1"/>
  <c r="L1059" i="1"/>
  <c r="L1050" i="1"/>
  <c r="L1042" i="1"/>
  <c r="L1038" i="1"/>
  <c r="L1030" i="1"/>
  <c r="L1026" i="1"/>
  <c r="L998" i="1"/>
  <c r="L993" i="1"/>
  <c r="L985" i="1"/>
  <c r="A985" i="1"/>
  <c r="L974" i="1"/>
  <c r="L964" i="1"/>
  <c r="L950" i="1"/>
  <c r="L924" i="1"/>
  <c r="L910" i="1"/>
  <c r="J909" i="1"/>
  <c r="L902" i="1"/>
  <c r="L895" i="1"/>
  <c r="L892" i="1"/>
  <c r="L874" i="1"/>
  <c r="L855" i="1"/>
  <c r="L845" i="1"/>
  <c r="L841" i="1"/>
  <c r="A841" i="1"/>
  <c r="A845" i="1" s="1"/>
  <c r="A855" i="1" s="1"/>
  <c r="A874" i="1" s="1"/>
  <c r="L824" i="1"/>
  <c r="L811" i="1"/>
  <c r="L802" i="1"/>
  <c r="L797" i="1"/>
  <c r="L788" i="1"/>
  <c r="L778" i="1"/>
  <c r="O777" i="1"/>
  <c r="R777" i="1" s="1"/>
  <c r="L770" i="1"/>
  <c r="L759" i="1"/>
  <c r="L749" i="1"/>
  <c r="L738" i="1"/>
  <c r="L731" i="1"/>
  <c r="L712" i="1"/>
  <c r="L698" i="1"/>
  <c r="L686" i="1"/>
  <c r="L682" i="1"/>
  <c r="L642" i="1"/>
  <c r="L614" i="1"/>
  <c r="L607" i="1"/>
  <c r="L582" i="1"/>
  <c r="A582" i="1"/>
  <c r="L570" i="1"/>
  <c r="L556" i="1"/>
  <c r="L544" i="1"/>
  <c r="L502" i="1"/>
  <c r="L488" i="1"/>
  <c r="A488" i="1"/>
  <c r="A502" i="1" s="1"/>
  <c r="A526" i="1" s="1"/>
  <c r="A544" i="1" s="1"/>
  <c r="L478" i="1"/>
  <c r="L468" i="1"/>
  <c r="L446" i="1"/>
  <c r="L429" i="1"/>
  <c r="L1058" i="1" l="1"/>
  <c r="L1244" i="1"/>
  <c r="L730" i="1"/>
  <c r="L748" i="1"/>
  <c r="L777" i="1"/>
  <c r="L801" i="1"/>
  <c r="L891" i="1"/>
  <c r="L909" i="1"/>
  <c r="L1037" i="1"/>
  <c r="L427" i="1"/>
  <c r="J427" i="1"/>
  <c r="A231" i="1"/>
  <c r="A235" i="1" s="1"/>
  <c r="A251" i="1" s="1"/>
  <c r="A266" i="1" s="1"/>
  <c r="A280" i="1" s="1"/>
  <c r="A302" i="1" s="1"/>
  <c r="A325" i="1" s="1"/>
  <c r="A346" i="1" s="1"/>
  <c r="A376" i="1" s="1"/>
  <c r="A381" i="1" s="1"/>
  <c r="A392" i="1" s="1"/>
  <c r="A417" i="1" s="1"/>
  <c r="A422" i="1" s="1"/>
  <c r="A423" i="1" s="1"/>
  <c r="A425" i="1" s="1"/>
  <c r="A150" i="1" l="1"/>
  <c r="A177" i="1" s="1"/>
  <c r="A184" i="1" s="1"/>
  <c r="A185" i="1" s="1"/>
  <c r="A202" i="1" s="1"/>
  <c r="A221" i="1" s="1"/>
  <c r="L222" i="1"/>
  <c r="J222" i="1"/>
  <c r="L221" i="1"/>
  <c r="L183" i="1"/>
  <c r="J183" i="1"/>
  <c r="L149" i="1"/>
  <c r="J149" i="1"/>
</calcChain>
</file>

<file path=xl/sharedStrings.xml><?xml version="1.0" encoding="utf-8"?>
<sst xmlns="http://schemas.openxmlformats.org/spreadsheetml/2006/main" count="2534" uniqueCount="2144">
  <si>
    <t>№ п/п</t>
  </si>
  <si>
    <t>Наименование вышестоящей сетевой организации</t>
  </si>
  <si>
    <t>Наименование нижестоящей сетевой организации</t>
  </si>
  <si>
    <t>ОАО «Тюменьэнерго»</t>
  </si>
  <si>
    <t>ПС 220/110/10 "Картопья"</t>
  </si>
  <si>
    <t>ООО "Газпром трансгаз Югорск"</t>
  </si>
  <si>
    <t>ЗРУ-10кВ ГКС "Ужгородская"</t>
  </si>
  <si>
    <t>Ф. №20 "Водозабор" Яч. №1</t>
  </si>
  <si>
    <t>Ф. №13 "Жил. поселок-1" Яч. №13</t>
  </si>
  <si>
    <t>Ф. №14 "Жил. поселок-2" Яч. №14</t>
  </si>
  <si>
    <t>Ф. №17 "Строитель" Яч. №17</t>
  </si>
  <si>
    <t>Ф. №18 "Поселок" Яч. №18</t>
  </si>
  <si>
    <t>Ф. №19 "Лесозавод" Яч. №19</t>
  </si>
  <si>
    <t>Ф. №20 "Водозабор-2" Яч. №20</t>
  </si>
  <si>
    <t>Ф. №21 "Водозабор-1" Яч. №21</t>
  </si>
  <si>
    <t>Ф. №3 "Нижний склад" Яч. №3</t>
  </si>
  <si>
    <t>Ф. №4 "Лесокомбинат" Яч. №4</t>
  </si>
  <si>
    <t>ПС 110/10 "Мансийская"</t>
  </si>
  <si>
    <t>Ф. №12 "ТП- 1-2" Яч. №12</t>
  </si>
  <si>
    <t>Ф. №13 "Поселок-2" Яч. №13</t>
  </si>
  <si>
    <t>Ф. №5   "Поселок-1" Яч. №5</t>
  </si>
  <si>
    <t>ПС 110/10 Хвойная</t>
  </si>
  <si>
    <t>Ф. №1 "СОК-2" Яч. №1</t>
  </si>
  <si>
    <t>Ф. №11 "Жил.поселок-2" Яч. №11</t>
  </si>
  <si>
    <t>Ф. №12 "16 мкр" Яч. №12</t>
  </si>
  <si>
    <t>Ф. №20 "РП-1-1" Яч. №20</t>
  </si>
  <si>
    <t>Ф. №23 "РП-4-1" Яч. №23</t>
  </si>
  <si>
    <t>Ф. №24 "КОС-2-1" Яч. №24</t>
  </si>
  <si>
    <t>Ф. №25 "Жил.поселок-1" Яч. №25</t>
  </si>
  <si>
    <t>Ф. №26 "Зеленая зона" Яч. №26</t>
  </si>
  <si>
    <t>Ф. №27 "ПМК-3-1" Яч. №27</t>
  </si>
  <si>
    <t>Ф. №33 "СОК-1" Яч. №33</t>
  </si>
  <si>
    <t>Ф. №4 "ПМК-3-2" Яч. №4</t>
  </si>
  <si>
    <t>Ф. №6 "КОС-2-2" Яч. №6</t>
  </si>
  <si>
    <t>Ф. №8 "РП-1-2" Яч. №8</t>
  </si>
  <si>
    <t>Ф. №9 "РП-4-2" Яч. №9</t>
  </si>
  <si>
    <t>НП “Энергокомплекс”</t>
  </si>
  <si>
    <t>ЗРУ-10, ф. ЛХК-1, яч.19</t>
  </si>
  <si>
    <t>ЗРУ-10, ф. ЛХК-2, яч.16</t>
  </si>
  <si>
    <t>ЗРУ-10, ф. Транзит-1, яч.15</t>
  </si>
  <si>
    <t>ЗРУ-10, ф. Транзит-2, яч.10</t>
  </si>
  <si>
    <t>ЗРУ-10, ф. РП-17-1, яч.13</t>
  </si>
  <si>
    <t>ЗРУ-10, ф. РП-17-2, яч.4</t>
  </si>
  <si>
    <t>ЗРУ-10, ф. РП-6-1, яч.3</t>
  </si>
  <si>
    <t>ЗРУ-10, ф. РП-6-2, яч.8</t>
  </si>
  <si>
    <t>ЗРУ-10, ф. Таежный, яч.17</t>
  </si>
  <si>
    <t>ЗРУ-10, ф. Фин.комплекс, яч.18</t>
  </si>
  <si>
    <t>ЗРУ-10, ф. Центральный, яч.24</t>
  </si>
  <si>
    <t>ЗРУ-10, ф. РП-7-1, яч.27</t>
  </si>
  <si>
    <t>ЗРУ-10, ф. ТРК-1, яч.25</t>
  </si>
  <si>
    <t>ЗРУ-10, ф. ТРК-2, яч.26</t>
  </si>
  <si>
    <t>ЗРУ-10, ф. Поселок, яч.6</t>
  </si>
  <si>
    <t>ЗРУ-10, ф. РММ яч.5</t>
  </si>
  <si>
    <t>Максимальная мощность, согласованная с вышестоящей СО, МВт</t>
  </si>
  <si>
    <t>Максимальная мощность, согласованная с нижестоящей СО, МВт</t>
  </si>
  <si>
    <t>Балансовая принадлежность питающего центра</t>
  </si>
  <si>
    <t>ОАО "ЮРЭСК"</t>
  </si>
  <si>
    <t>Наименование точки присоединения</t>
  </si>
  <si>
    <t>2*16</t>
  </si>
  <si>
    <t>-</t>
  </si>
  <si>
    <t>ОАО «Тюменьэнерго» филиал УЭС</t>
  </si>
  <si>
    <t>2*25</t>
  </si>
  <si>
    <t>Итого по ПС 220/110/10 "Картопья"</t>
  </si>
  <si>
    <t>ПС 110/10 "Советская"</t>
  </si>
  <si>
    <t>Итого по ПС 110/10 "Советская"</t>
  </si>
  <si>
    <t>ПС 110/10 "Соболиная"</t>
  </si>
  <si>
    <t>ПС 110/10 "Зеленоборская"</t>
  </si>
  <si>
    <t>Итого по ПС 110/10 "Зеленоборская"</t>
  </si>
  <si>
    <t>ПС 110/10 "Агириш"</t>
  </si>
  <si>
    <t>Итого по ПС 110/10 "Агириш"</t>
  </si>
  <si>
    <t>ПС 110/10 "Самза"</t>
  </si>
  <si>
    <t>Итого по ПС 110/10 "Самза"</t>
  </si>
  <si>
    <t>Ф. 10кВ "Поселок" яч №20</t>
  </si>
  <si>
    <t>Ф. 10кВ "ПМК" яч №16</t>
  </si>
  <si>
    <t>Ф. 10кВ "ЛПК-1" яч №23</t>
  </si>
  <si>
    <t>Ф. 10кВ "Промбаза" яч №15</t>
  </si>
  <si>
    <t>Ф. 10кВ "Хлебозавод" яч №19</t>
  </si>
  <si>
    <t>Ф. 10кВ "УРБ" яч №27</t>
  </si>
  <si>
    <t>Ф. 10кВ "Ж/Д-1" яч №21</t>
  </si>
  <si>
    <t>Ф. 10кВ "Котельная-1" яч №17</t>
  </si>
  <si>
    <t>Ф. 10кВ "Котельная-2" яч №26</t>
  </si>
  <si>
    <t>Ф. 10кВ "ЛПК-2" яч.№25</t>
  </si>
  <si>
    <t>Ф. 10кВ "Кремень"яч.№31</t>
  </si>
  <si>
    <t>Ф. 10кВ "МК-156" яч.№11</t>
  </si>
  <si>
    <t>Ф. 10кВ "СУ-881" яч.№27</t>
  </si>
  <si>
    <t>Ф. 10кВ "Котельная-1" яч.№5</t>
  </si>
  <si>
    <t>Ф. 10кВ "Котельная-2" яч.№6</t>
  </si>
  <si>
    <t>Ф. 10кВ "Поселок-1" яч.№5</t>
  </si>
  <si>
    <t>Ф. 10кВ "Поселок-2" яч.№11</t>
  </si>
  <si>
    <t>Ф. 10кВ "Котельный" яч.№5</t>
  </si>
  <si>
    <t>Ф. 10кВ "Восточный" яч.№7</t>
  </si>
  <si>
    <t>Ф. 10кВ "Дальний буфер"яч.№6</t>
  </si>
  <si>
    <t>Ф. 10кВ "Алябьево" яч.№19</t>
  </si>
  <si>
    <t>Ф. 10кВ "Малиновский" яч.№29</t>
  </si>
  <si>
    <t>Ф. 10кВ "Пионерский-1" яч.№23</t>
  </si>
  <si>
    <t>Ф. 10кВ "Мечта" яч.№7</t>
  </si>
  <si>
    <t>Ф. 10кВ "Пионерский-2"яч.№16</t>
  </si>
  <si>
    <t>Итого по ПС 110/10 "Алябьево"</t>
  </si>
  <si>
    <t>ПС 110/10 "Таежная"</t>
  </si>
  <si>
    <t>Итого по ПС 110/10 "Таежная"</t>
  </si>
  <si>
    <t>Центр питания</t>
  </si>
  <si>
    <t xml:space="preserve">ОАО «Тюменьэнерго» </t>
  </si>
  <si>
    <t>ПС 110/10 "Геологическая"</t>
  </si>
  <si>
    <t>Итого по ПС 110/10 "Геологическая"</t>
  </si>
  <si>
    <t>Итого по ПС 110/10 "Мансийская"</t>
  </si>
  <si>
    <t>Итого по ПС 110/10 "Хвойная"</t>
  </si>
  <si>
    <t>ПС 110/10 "Полноват"</t>
  </si>
  <si>
    <t>2*2,5</t>
  </si>
  <si>
    <t>ПС 110/10 "Чара"</t>
  </si>
  <si>
    <t>Итого по ПС 110/10 "Чара"</t>
  </si>
  <si>
    <t>Итого по ПС 110/10 "Полноват"</t>
  </si>
  <si>
    <t>Установленная мощность подстанции, МВА</t>
  </si>
  <si>
    <t>Установленная мощность ТП, кВА</t>
  </si>
  <si>
    <t>Коэффициент загрузки</t>
  </si>
  <si>
    <t>наименование ТП</t>
  </si>
  <si>
    <t>ТП №16-032</t>
  </si>
  <si>
    <t>РП №16-047</t>
  </si>
  <si>
    <t>ТП №16-050</t>
  </si>
  <si>
    <t>ТП №16-051</t>
  </si>
  <si>
    <t>ТП №16-057</t>
  </si>
  <si>
    <t>ТП №16-039</t>
  </si>
  <si>
    <t>ТП №16-041</t>
  </si>
  <si>
    <t>ТП №16-042</t>
  </si>
  <si>
    <t>ТП №16-044</t>
  </si>
  <si>
    <t>ТП №16-046</t>
  </si>
  <si>
    <t>ТП №16-067</t>
  </si>
  <si>
    <t>ТП №16-010</t>
  </si>
  <si>
    <t>ТП №16-028</t>
  </si>
  <si>
    <t>ТП №16-029</t>
  </si>
  <si>
    <t>ТП №16-033</t>
  </si>
  <si>
    <t>ТП №16-055</t>
  </si>
  <si>
    <t>ТП №16-056</t>
  </si>
  <si>
    <t>ТП №16-061</t>
  </si>
  <si>
    <t>ТП №16-064</t>
  </si>
  <si>
    <t>ТП №16-068</t>
  </si>
  <si>
    <t>ТП №16-072</t>
  </si>
  <si>
    <t>ТП №16-001</t>
  </si>
  <si>
    <t>ТП №16-003</t>
  </si>
  <si>
    <t>ТП №16-027</t>
  </si>
  <si>
    <t>ТП №16-043</t>
  </si>
  <si>
    <t>ТП №16-058</t>
  </si>
  <si>
    <t>ТП №16-062</t>
  </si>
  <si>
    <t>ТП №16-071</t>
  </si>
  <si>
    <t>ТП №16-078</t>
  </si>
  <si>
    <t>ТП №16-002</t>
  </si>
  <si>
    <t>ТП №16-005</t>
  </si>
  <si>
    <t>ТП №16-011</t>
  </si>
  <si>
    <t>ТП №16-040</t>
  </si>
  <si>
    <t>ТП №16-065</t>
  </si>
  <si>
    <t>ТП №16-073</t>
  </si>
  <si>
    <t>ТП №16-014</t>
  </si>
  <si>
    <t>ТП №16-012</t>
  </si>
  <si>
    <t>ТП №16-035</t>
  </si>
  <si>
    <t>ТП №16-036</t>
  </si>
  <si>
    <t>ТП №16-038</t>
  </si>
  <si>
    <t>ТП №16-063</t>
  </si>
  <si>
    <t>ТП №16-017</t>
  </si>
  <si>
    <t>ТП №16-019</t>
  </si>
  <si>
    <t>ТП №16-020</t>
  </si>
  <si>
    <t>ТП №16-023</t>
  </si>
  <si>
    <t>ТП №16-024</t>
  </si>
  <si>
    <t>ТП №16-048</t>
  </si>
  <si>
    <t>ТП №16-049</t>
  </si>
  <si>
    <t>ТП №16-052</t>
  </si>
  <si>
    <t>ТП №16-069</t>
  </si>
  <si>
    <t>ТП №16-030</t>
  </si>
  <si>
    <t>2*630</t>
  </si>
  <si>
    <t>ТП №16-104</t>
  </si>
  <si>
    <t>ТП №16-108</t>
  </si>
  <si>
    <t>ТП №16-110</t>
  </si>
  <si>
    <t>ТП №16-111</t>
  </si>
  <si>
    <t>ТП №16-113</t>
  </si>
  <si>
    <t>ТП №16-114</t>
  </si>
  <si>
    <t>2*400</t>
  </si>
  <si>
    <t>ТП №16-118</t>
  </si>
  <si>
    <t>ТП №16-122</t>
  </si>
  <si>
    <t>ТП №16-124</t>
  </si>
  <si>
    <t>ТП №16-128</t>
  </si>
  <si>
    <t>ТП №16-129</t>
  </si>
  <si>
    <t>ТП №16-130</t>
  </si>
  <si>
    <t>ТП №16-133</t>
  </si>
  <si>
    <t>ТП №16-134</t>
  </si>
  <si>
    <t>ТП №16-135</t>
  </si>
  <si>
    <t>ТП №16-138</t>
  </si>
  <si>
    <t>ТП №16-148</t>
  </si>
  <si>
    <t>ТП №16-152</t>
  </si>
  <si>
    <t>2*160</t>
  </si>
  <si>
    <t>ТП №16-153</t>
  </si>
  <si>
    <t>ТП №16-155</t>
  </si>
  <si>
    <t>ТП №16-156</t>
  </si>
  <si>
    <t>ТП №16-161</t>
  </si>
  <si>
    <t>ТП №16-163</t>
  </si>
  <si>
    <t>ТП №16-201</t>
  </si>
  <si>
    <t>ТП №16-202</t>
  </si>
  <si>
    <t>ТП №16-203</t>
  </si>
  <si>
    <t>ТП №16-204</t>
  </si>
  <si>
    <t>ТП №16-205</t>
  </si>
  <si>
    <t>ТП №16-207</t>
  </si>
  <si>
    <t>ТП №16-208</t>
  </si>
  <si>
    <t>ТП №16-209</t>
  </si>
  <si>
    <t>ТП №16-210</t>
  </si>
  <si>
    <t>ТП №16-211</t>
  </si>
  <si>
    <t>ТП №16-212</t>
  </si>
  <si>
    <t>ТП №16-215</t>
  </si>
  <si>
    <t>ТП №16-219</t>
  </si>
  <si>
    <t>ТП №16-222</t>
  </si>
  <si>
    <t>ТП №16-224</t>
  </si>
  <si>
    <t>ТП №16-225</t>
  </si>
  <si>
    <t>ТП №16-301</t>
  </si>
  <si>
    <t>ТП №16-302</t>
  </si>
  <si>
    <t>ТП №16-303</t>
  </si>
  <si>
    <t>ТП №16-304</t>
  </si>
  <si>
    <t>ТП №16-305</t>
  </si>
  <si>
    <t>ТП №16-306</t>
  </si>
  <si>
    <t>ТП №16-307</t>
  </si>
  <si>
    <t>ТП №16-308</t>
  </si>
  <si>
    <t>ТП №16-402</t>
  </si>
  <si>
    <t>ТП №16-403</t>
  </si>
  <si>
    <t>ТП №16-404</t>
  </si>
  <si>
    <t>ТП №16-405</t>
  </si>
  <si>
    <t>ТП №16-406</t>
  </si>
  <si>
    <t>ТП №16-407</t>
  </si>
  <si>
    <t>ТП №16-408</t>
  </si>
  <si>
    <t>ТП №16-409</t>
  </si>
  <si>
    <t>ТП №16-410</t>
  </si>
  <si>
    <t>ТП №16-411</t>
  </si>
  <si>
    <t>ТП №16-412</t>
  </si>
  <si>
    <t>ТП №16-413</t>
  </si>
  <si>
    <t>ТП №16-601</t>
  </si>
  <si>
    <t>ТП №16-602</t>
  </si>
  <si>
    <t>ТП №16-603</t>
  </si>
  <si>
    <t>ТП №16-604</t>
  </si>
  <si>
    <t>ТП №16-605</t>
  </si>
  <si>
    <t>ТП №16-606</t>
  </si>
  <si>
    <t>ТП №16-607</t>
  </si>
  <si>
    <t>ТП №16-608</t>
  </si>
  <si>
    <t>ТП №16-609</t>
  </si>
  <si>
    <t>ТП №16-610</t>
  </si>
  <si>
    <t>ТП №16-611</t>
  </si>
  <si>
    <t>ТП №16-612</t>
  </si>
  <si>
    <t>ТП №16-613</t>
  </si>
  <si>
    <t>ТП №16-617</t>
  </si>
  <si>
    <t>ТП №16-618</t>
  </si>
  <si>
    <t>ТП №16-619</t>
  </si>
  <si>
    <t>ТП №16-620</t>
  </si>
  <si>
    <t>ТП №16-621</t>
  </si>
  <si>
    <t>ТП №16-702</t>
  </si>
  <si>
    <t>ТП №16-703</t>
  </si>
  <si>
    <t>ТП №16-704</t>
  </si>
  <si>
    <t>ТП №16-708</t>
  </si>
  <si>
    <t>ТП №16-709</t>
  </si>
  <si>
    <t>ТП №16-711</t>
  </si>
  <si>
    <t>ТП №16-712</t>
  </si>
  <si>
    <t>ТП №16-805</t>
  </si>
  <si>
    <t>ТП №16-806</t>
  </si>
  <si>
    <t>ТП №16-808</t>
  </si>
  <si>
    <t>ТП №16-809</t>
  </si>
  <si>
    <t>ТП №16-810</t>
  </si>
  <si>
    <t>ТП №16-811</t>
  </si>
  <si>
    <t>ТП №16-812</t>
  </si>
  <si>
    <t>ТП №16-801</t>
  </si>
  <si>
    <t>ТП №16-802</t>
  </si>
  <si>
    <t>ТП №16-807</t>
  </si>
  <si>
    <t>ТП №16-101</t>
  </si>
  <si>
    <t>2*1000</t>
  </si>
  <si>
    <t>2х630</t>
  </si>
  <si>
    <t>2х400</t>
  </si>
  <si>
    <t>ТП-12-6</t>
  </si>
  <si>
    <t>ТП-14-12</t>
  </si>
  <si>
    <t>2х1000</t>
  </si>
  <si>
    <t>ТП-14-4</t>
  </si>
  <si>
    <t>ТП-14-5</t>
  </si>
  <si>
    <t>4х1000</t>
  </si>
  <si>
    <t>ТП-1-2</t>
  </si>
  <si>
    <t>ПС-110/35/6 "Игрим"</t>
  </si>
  <si>
    <t>ОАО "Тюменьэнерго</t>
  </si>
  <si>
    <t>ТП №16-501</t>
  </si>
  <si>
    <t>ТП №16-502</t>
  </si>
  <si>
    <t>ТП №16-504</t>
  </si>
  <si>
    <t>ТП №16-505</t>
  </si>
  <si>
    <t>ТП №16-506</t>
  </si>
  <si>
    <t>ТП №16-507</t>
  </si>
  <si>
    <t>ТП №16-508</t>
  </si>
  <si>
    <t>ТП №16-509</t>
  </si>
  <si>
    <t>ТП №16-510</t>
  </si>
  <si>
    <t>Данные по загрузке ТП, кВт</t>
  </si>
  <si>
    <t>Итого по ПС 110/10 "Соболиная"</t>
  </si>
  <si>
    <t>Ф. 10кВ "Западный" яч.№4</t>
  </si>
  <si>
    <t>ТП №16-503 (резерв ф. 10 кВ "Березовский 1" ПС 110/10 " Таежная")</t>
  </si>
  <si>
    <t>ТП №16-503 (резерв ф. 10 кВ "Таежная 2-1" ПС 110/10 " Таежная")</t>
  </si>
  <si>
    <t>ТП №16-013 (резерв ф. 10 кВ "Котельная-2" ПС 110/10 " Соболиная")</t>
  </si>
  <si>
    <t>ТП №16-013 (резерв ф. 10 кВ "Котельная-1" ПС 110/10 " Соболиная")</t>
  </si>
  <si>
    <t>ТП №16-021 (резерв ф. 10 кВ "Курчатова" ЦРП г. Советский, ПС 110/10 Советская).</t>
  </si>
  <si>
    <t>ТП №16-026 (резерв ф. 10 кВ "ЖД-1", ПС 220/110/10 Картопья).</t>
  </si>
  <si>
    <t>ТП №16-026 (резерв ф. 10 кВ "Хлебозавод", ПС 220/110/10 Картопья).</t>
  </si>
  <si>
    <t>ТП №16-031 (резерв ф. 10 кВ "Поселок", ПС 220/110/10 Картопья).</t>
  </si>
  <si>
    <t>ТП №16-031 (резерв ф. 10 кВ "ЛПК-2", ПС 220/110/10 Картопья).</t>
  </si>
  <si>
    <t>ТП №16-034 (резерв ф. 10 кВ "Промбаза", ПС 220/110/10 Картопья).</t>
  </si>
  <si>
    <t>ТП №16-034 (резерв ф. 10 кВ "Поселок", ПС 220/110/10 Картопья).</t>
  </si>
  <si>
    <t>ТП №16-037 (резерв ф. 10 кВ "Поселок", ПС 220/110/10 Картопья).</t>
  </si>
  <si>
    <t>ТП №16-037 (резерв ф. 10 кВ "ЛПК-2", ПС 220/110/10 Картопья).</t>
  </si>
  <si>
    <t>ТП №16-045 (резерв ф. 10 кВ "Хлебозавод", ПС 220/110/10 Картопья).</t>
  </si>
  <si>
    <t>ТП №16-045 (резерв ф. 10 кВ "ПМК", ПС 220/110/10 Картопья).</t>
  </si>
  <si>
    <t>ТП №16-054 (резерв ф. 10 кВ "ЛПК-2", ПС 220/110/10 Картопья).</t>
  </si>
  <si>
    <t>ТП №16-054 (резерв ф. 10 кВ "Хлебозавод", ПС 220/110/10 Картопья).</t>
  </si>
  <si>
    <t>ТП №16-059 (резерв ф. 10 кВ "Курчатова", "Строительный", ЦРП г. Советский, ПС 110/10 Советская).</t>
  </si>
  <si>
    <t>ТП №16-060 (резерв ф. 10 кВ "Курчатова", ЦРП г. Советский, ПС 110/10 Советская).</t>
  </si>
  <si>
    <t>ТП №16-066 (резерв ф. 10 кВ "Поселок", ПС 220/110/10 Картопья).</t>
  </si>
  <si>
    <t>ТП №16-066 (резерв ф. 10 кВ "ЛПК-2", ПС 220/110/10 Картопья).</t>
  </si>
  <si>
    <t>ТП №16-070 (резерв ф. 10 кВ "ЛПК-1", ПС 220/110/10 Картопья).</t>
  </si>
  <si>
    <t>ТП №16-070 (резерв ф. 10 кВ "Промбаза", ПС 220/110/10 Картопья).</t>
  </si>
  <si>
    <t>ТП №16-074 (резерв ф. 10 кВ "Строительный" ЦРП г. Советский, ПС 110/10 Советская).</t>
  </si>
  <si>
    <t>ТП №16-074 (резерв ф. 10 кВ "ЛПК-2", ПС 220/110/10 Картопья).</t>
  </si>
  <si>
    <t>ТП №16-075(Абонентская)</t>
  </si>
  <si>
    <t>ТП №16-77 (абонентская)</t>
  </si>
  <si>
    <t>ТП №16-079 (резерв ф. 10 кВ "Западный", ПС 110/10 Соболиная).</t>
  </si>
  <si>
    <t>ТП №16-079 (резерв ф. 10 кВ "УРБ", ПС 220/110/10 Картопья).</t>
  </si>
  <si>
    <t>ТП №16-80 (абонентская)</t>
  </si>
  <si>
    <t>ТП №16-82 (абонентская)</t>
  </si>
  <si>
    <t>ТП №16-81 (абонентская)</t>
  </si>
  <si>
    <t>ТП №16-85 (абонентская)</t>
  </si>
  <si>
    <t>ТП №16-86 (абонентская)</t>
  </si>
  <si>
    <t>ТП №16-87 (абонентская)</t>
  </si>
  <si>
    <t>ТП №16-88 (абонентская)</t>
  </si>
  <si>
    <t>ТП №16-89 (абонентская)</t>
  </si>
  <si>
    <t>ТП №16-90 (абонентская)</t>
  </si>
  <si>
    <t>ТП №16-99 (абонентская)</t>
  </si>
  <si>
    <t>ТП №16-98 (абонентская)</t>
  </si>
  <si>
    <t>ТП №16-97 (абонентская)</t>
  </si>
  <si>
    <t>ТП №16-96 (абонентская)</t>
  </si>
  <si>
    <t>ТП №16-95 (абонентская)</t>
  </si>
  <si>
    <t>ТП №16-94 (абонентская)</t>
  </si>
  <si>
    <t>ТП №16-93 (абонентская)</t>
  </si>
  <si>
    <t>ТП №16-92 (абонентская)</t>
  </si>
  <si>
    <t>ТП №16-91 (абонентская)</t>
  </si>
  <si>
    <t>ТП №16-100 (абонентская)</t>
  </si>
  <si>
    <t>ТП №16-102 (резерв ф. 10 кВ "Поселок", ПС 220/110/10 Картопья).</t>
  </si>
  <si>
    <t>ТП №16-102 (резерв ф. 10 кВ "Промбаза", ПС 220/110/10 Картопья).</t>
  </si>
  <si>
    <t>ТП №16-103 (абонентская)</t>
  </si>
  <si>
    <t>ТП №16-105 (абонентская)</t>
  </si>
  <si>
    <t>ТП №16-115 (абонентская)</t>
  </si>
  <si>
    <t>ТП №16-116 абонентская)</t>
  </si>
  <si>
    <t>ТП №16-117 (абонентская)</t>
  </si>
  <si>
    <t>ТП №16-119 (абонентская)</t>
  </si>
  <si>
    <t>РТП №16-120 (резерв ф. 10 кВ "СУ-881", ПС 110/10 Советская).</t>
  </si>
  <si>
    <t>ТП №16-107 (резерв ф. 10 кВ "Курчатова", "Юбилейный", ЦРП г. Советский, ПС 110/10 Советская).</t>
  </si>
  <si>
    <t>ТП №16-137 (абонентская)</t>
  </si>
  <si>
    <t>ТП №16-139 (резерв ф. 10 кВ "Поселок", ПС 220/110/10 Картопья).</t>
  </si>
  <si>
    <t>ТП №16-139 (резерв ф. 10 кВ "Промбаза", ПС 220/110/10 Картопья).</t>
  </si>
  <si>
    <t>ТП №16-143 (ф. 10 кВ "Юбилейный", ЦРП г. Советский, ПС 110/10 Советская).</t>
  </si>
  <si>
    <t>ТП №16-142 (абонентская)</t>
  </si>
  <si>
    <t>ТП №16-140 (абонентская)</t>
  </si>
  <si>
    <t>ТП №16-141 (абонентская)</t>
  </si>
  <si>
    <t>ТП №16-76 (абонентская)</t>
  </si>
  <si>
    <t>ТП №16-145 (резерв ф. 10 кВ "ЛПК-1", ПС 220/110/10 Картопья).</t>
  </si>
  <si>
    <t>ТП №16-145 (резерв ф. 10 кВ "УРБ", ПС 220/110/10 Картопья).</t>
  </si>
  <si>
    <t>ТП №16-146 (абонентская)</t>
  </si>
  <si>
    <t>ТП №16-147 (резерв ф. 10 кВ "ПМК", ПС 220/110/10 Картопья).</t>
  </si>
  <si>
    <t>ТП №16-147 (резерв ф. 10 кВ "Хлебозавод", ПС 220/110/10 Картопья).</t>
  </si>
  <si>
    <t>ТП №16-150 (резерв ф. 10 кВ "Хлебозавод", ПС 220/110/10 Картопья).</t>
  </si>
  <si>
    <t>ТП №16-150 (резерв ф. 10 кВ "ПМК", ПС 220/110/10 Картопья).</t>
  </si>
  <si>
    <t>ТП №16-151 (резерв ф. 10 кВ "Семакова" ЦРП г. Советский, ПС 110/10 Советская).</t>
  </si>
  <si>
    <t>ТП №16-151 (резерв ф. 10 кВ "УРБ", ПС 220/110/10 Картопья).</t>
  </si>
  <si>
    <t>ТП №16-154 (резерв ф. 10 кВ "УРБ", ПС 220/110/10 Картопья).</t>
  </si>
  <si>
    <t>ТП №16-154 (резерв ф. 10 кВ "Западный", ПС 110/10 Соболиная).</t>
  </si>
  <si>
    <t>ТП №16-158 (абонентская)</t>
  </si>
  <si>
    <t>ТП №16-159 (абонентская)</t>
  </si>
  <si>
    <t>ТП №16-160 (резерв ф. 10 кВ "Юбилейный" ЦРП г. Советский, ПС 110/10 Советская).</t>
  </si>
  <si>
    <t>ТП №16-163 (резерв ф. 10 кВ "Ж/Д-1", ПС 220/110/10 Картопья).</t>
  </si>
  <si>
    <t>ТП №16-021 (резерв ф. 10 кВ "Ж/Д-1", ПС 220/110/10 Картопья).</t>
  </si>
  <si>
    <t>ТП №16-026 (резерв ф. 10 кВ "Ж/Д-1", ПС 220/110/10 Картопья).</t>
  </si>
  <si>
    <t>ТП №16-160 (резерв ф. 10 кВ "Ж/Д-1", ПС 220/110/10 Картопья).</t>
  </si>
  <si>
    <t>ТП №16-131 (абонентская)</t>
  </si>
  <si>
    <t>ТП №16-132 (абонентская)</t>
  </si>
  <si>
    <t>ТП №16-125 (абонентская)</t>
  </si>
  <si>
    <t>ТП №16-127 (абонентская)</t>
  </si>
  <si>
    <t>ТП №16-165 (абонентская)</t>
  </si>
  <si>
    <t>ТП №16-164 (абонентская)</t>
  </si>
  <si>
    <t>ТП №16-126 (абонентская)</t>
  </si>
  <si>
    <t>ТП №16-166 (ф. 10 кВ "Семакова", ЦРП г. Советский, ПС 110/10 Советская).</t>
  </si>
  <si>
    <t>ТП №16-167 (резерв ф. 10 кВ "ПМК", ПС 220/110/10 Картопья).</t>
  </si>
  <si>
    <t>ТП №16-172 (абонентская)</t>
  </si>
  <si>
    <t>ТП №16-206 (резерв ф. 10 кВ "Пионерский-2" ПС 110/10 " Алябьево")</t>
  </si>
  <si>
    <t>ТП №16-206 (резерв ф. 10 кВ "Пионерский-1" ПС 110/10 " Алябьево")</t>
  </si>
  <si>
    <t>ТП №16-213 (резерв ф. 10 кВ "Пионерский-1" ПС 110/10 " Алябьево")</t>
  </si>
  <si>
    <t>ТП №16-214 (резерв ф. 10 кВ "Пионерский-1" ПС 110/10 " Алябьево")</t>
  </si>
  <si>
    <t>ТП №16-216 (резерв ф. 10 кВ "Пионерский-1" ПС 110/10 " Алябьево")</t>
  </si>
  <si>
    <t>ТП №16-216 (резерв ф. 10 кВ "Пионерский-2" ПС 110/10 " Алябьево")</t>
  </si>
  <si>
    <t>ТП №16-223 (резерв ф. 10 кВ "Пионерский-1" ПС 110/10 " Алябьево")</t>
  </si>
  <si>
    <t>ТП №16-223 (резерв ф. 10 кВ "Пионерский-2" ПС 110/10 " Алябьево")</t>
  </si>
  <si>
    <t>ТП №16-221</t>
  </si>
  <si>
    <t>ТП №16-701 (резерв ф. 10 кВ "Поселок-2", ПС 110/10Зеленоборская).</t>
  </si>
  <si>
    <t>ТП №16-701 (резерв ф. 10 кВ "Поселок-1", ПС 110/10Зеленоборская).</t>
  </si>
  <si>
    <t>ТП №16-706 (резерв ф. 10 кВ "Поселок-2", ПС 110/10Зеленоборская).</t>
  </si>
  <si>
    <t>ТП №16-706 (резерв ф. 10 кВ "Поселок-1", ПС 110/10Зеленоборская).</t>
  </si>
  <si>
    <t>ТП №16-615 (абонентская)</t>
  </si>
  <si>
    <t>ТП №16-616 (абонентская)</t>
  </si>
  <si>
    <t>ТП №16-622 (абонентская)</t>
  </si>
  <si>
    <t>ТП №16-623 (абонентская)</t>
  </si>
  <si>
    <t>ТП №16-008 (резерв ф. 10 кВ "ТП-7 РЖД" (ОАО "РЖД")</t>
  </si>
  <si>
    <t>ТП №16-006 (резерв ф. 10 кВ "Ж/д-1", ПС 220/110/10 Картопья).</t>
  </si>
  <si>
    <t>ТП №16-006 (резерв ф. 10 кВ "Курчатова" ЦРП г. Советский, ПС 110/10 Советская).</t>
  </si>
  <si>
    <t>ТП №16-009 (резерв ф. 10 кВ "Котельная-1" ПС 110/10 " Соболиная")</t>
  </si>
  <si>
    <t>ТП №16-009 (резерв ф. 10 кВ "Котельная-2" ПС 110/10 " Соболиная")</t>
  </si>
  <si>
    <t>ТП №16-014 (резерв ф. 10 кВ "Котельная-1" ПС 110/10 " Соболиная")</t>
  </si>
  <si>
    <t>ТП №16-014 (резерв ф. 10 кВ "Котельная-2" ПС 110/10 " Соболиная")</t>
  </si>
  <si>
    <t>ТП №16-022 (резерв ф. 10 кВ "Ж/Д-1", ПС 220/110/10 Картопья).</t>
  </si>
  <si>
    <t>ТП №16-022 (резерв ф. 10 кВ "Курчатова" ЦРП г. Советский, ПС 110/10 Советская).</t>
  </si>
  <si>
    <t>ТП №16-112 (резерв ф. 10 кВ "Ж/Д-1", ПС 220/110/10 Картопья).</t>
  </si>
  <si>
    <t>ТП №16-112 (резерв ф. 10 кВ "ЛПК-2", ПС 220/110/10 Картопья).</t>
  </si>
  <si>
    <t>ТП №16-004 (резерв ф. 10 кВ "Промбаза", ПС 220/110/10 Картопья).</t>
  </si>
  <si>
    <t>ТП №16-004 (резерв ф. 10 кВ "Поселок", ПС 220/110/10 Картопья).</t>
  </si>
  <si>
    <t>РТП №16-120 (резерв ф. 10 кВ "Аэропорт"/ЛПК-1, ПС 220/110/10 Картопья).</t>
  </si>
  <si>
    <t>ТП №16-027 (резерв ф. 10 кВ "Промбаза", ПС 220/110/10 Картопья).</t>
  </si>
  <si>
    <t>ТП №16-705 (резерв ф. 10 кВ "Поселок-1", ПС 110/10Зеленоборская).</t>
  </si>
  <si>
    <t>ТП №16-707 (резерв ф. 10 кВ "Поселок-1", ПС 110/10Зеленоборская).</t>
  </si>
  <si>
    <t>ЦРП г.Советский (резерв ф. 10 кВ "Аэропорт"/ЛПК-1, ПС 220/110/10 Картопья).</t>
  </si>
  <si>
    <t>ЦРП №16-120 (резерв ф. 10 кВ "Аэропорт", ПС 220/110/10 Картопья/ПС 110/10 Советская).</t>
  </si>
  <si>
    <t>ТП №11-2 (резерв ф. № 8 "РП-1-2" ПС 110/10 " Хвойная")</t>
  </si>
  <si>
    <t>ТП №10-3 (резерв ф. № 8 "РП-1-2" ПС 110/10 " Хвойная")</t>
  </si>
  <si>
    <t>ТП №8-5 (резерв ф. № 8 "РП-1-2" ПС 110/10 " Хвойная")</t>
  </si>
  <si>
    <t>ТП №1-6 (резерв ф. № 9 "РП-4-2" ПС 110/10 " Хвойная")</t>
  </si>
  <si>
    <t>ТП №8-6 (резерв ф. № 8 "РП-1-2" ПС 110/10 " Хвойная")</t>
  </si>
  <si>
    <t>ТП №1-7 (резерв ф. № 9 "РП-4-2" ПС 110/10 " Хвойная")</t>
  </si>
  <si>
    <t>ТП №2-5 (резерв ф. № 4 "ПМК-3-2" ПС 110/10 " Хвойная")</t>
  </si>
  <si>
    <t>ТП №2-5 (резерв ф. № 27 "ПМК-3-1" ПС 110/10 " Хвойная")</t>
  </si>
  <si>
    <t>ТП №8-6 (резерв ф. № 20 "РП-1-1" ПС 110/10 " Хвойная")</t>
  </si>
  <si>
    <t>ТП №8-5 (резерв ф. № 20 "РП-1-1" ПС 110/10 " Хвойная")</t>
  </si>
  <si>
    <t>ТП №10-3 (резерв ф. № 20 "РП-1-1" ПС 110/10 " Хвойная")</t>
  </si>
  <si>
    <t>ТП №11-2 (резерв ф. № 20 "РП-1-1" ПС 110/10 " Хвойная")</t>
  </si>
  <si>
    <t>ТП №1-6 (резерв ф. № 23 "РП-4-1" ПС 110/10 " Хвойная")</t>
  </si>
  <si>
    <t>ТП №1-7 (резерв ф. № 23 "РП-4-1" ПС 110/10 " Хвойная")</t>
  </si>
  <si>
    <t>ТП №12-4 (резерв ф. № 20 "РП-1-1" ПС 110/10 " Хвойная")</t>
  </si>
  <si>
    <t>ТП №17-11 (резерв ф. № 5 "Поселок-1" ПС 110/10 " Мансийская")</t>
  </si>
  <si>
    <t>ТП №17-11 (резерв ф. № 2 "Поселок-2" ПС 110/10 " Мансийская")</t>
  </si>
  <si>
    <t>ТП №5-3 (резерв ф. № 24 "КОС-2-1" ПС 110/10 " Хвойная")</t>
  </si>
  <si>
    <t>ТП №5-3 (резерв ф. № 6 "КОС-2-2" ПС 110/10 " Хвойная")</t>
  </si>
  <si>
    <t>ТП №1-9 (резерв ф. № 9 "РП-4-2" ПС 110/10 " Хвойная")</t>
  </si>
  <si>
    <t>ТП №1-9 (резерв ф. № 23 "РП-4-1" ПС 110/10 " Хвойная")</t>
  </si>
  <si>
    <t>ТП №2-3 (резерв ф. № 6 "КОС-2-2" ПС 110/10 " Хвойная")</t>
  </si>
  <si>
    <t>ТП №2-3 (резерв ф. № 27 "ПМК-3-1" ПС 110/10 " Хвойная")</t>
  </si>
  <si>
    <t>ТП №11-5 (резерв ф. № 20 "РП-1-1" ПС 110/10 " Хвойная")</t>
  </si>
  <si>
    <t>ТП №11-5 (резерв ф. № 8 "РП-1-2" ПС 110/10 " Хвойная")</t>
  </si>
  <si>
    <t>ТП №11-8 (резерв ф. № 14 "Жил.поселок-2"                                          ПС 110/10 " Геологическая")</t>
  </si>
  <si>
    <t>ТП №11-8 (резерв ф. № 8 "РП-1-2" ПС 110/10 " Хвойная")</t>
  </si>
  <si>
    <t>ТП №10-1 (резерв ф. № 8 "РП-1-2" ПС 110/10 " Хвойная")</t>
  </si>
  <si>
    <t>ТП №10-1 (резерв ф. № 20 "РП-1-1" ПС 110/10 " Хвойная")</t>
  </si>
  <si>
    <t>ТП №1-3 (резерв ф. № 9 "РП-4-2" ПС 110/10 " Хвойная")</t>
  </si>
  <si>
    <t>ТП №1-3 (резерв ф. № 27 "ПМК-3-1" ПС 110/10 " Хвойная")</t>
  </si>
  <si>
    <t>ТП №5-6 (резерв ф. № 6 "КОС-2-2" ПС 110/10 " Хвойная")</t>
  </si>
  <si>
    <t>ТП №5-6 (резерв ф. № 27 "ПМК-3-1" ПС 110/10 " Хвойная")</t>
  </si>
  <si>
    <t>ТП №17-9 (резерв ф. № 5 "Поселок-1" ПС 110/10 " Мансийская")</t>
  </si>
  <si>
    <t>ТП №17-9 (резерв ф. № 2 "Поселок-2" ПС 110/10 " Мансийская")</t>
  </si>
  <si>
    <t>ТП №10-5 (резерв ф. № 20 "РП-1-1" ПС 110/10 " Хвойная")</t>
  </si>
  <si>
    <t>ТП №10-5 (резерв ф. № 8 "РП-1-2" ПС 110/10 " Хвойная")</t>
  </si>
  <si>
    <t>ТП №12-5 (резерв ф. № 14 "Жил. поселок-2"                                             ПС 110/10 " Геологическая")</t>
  </si>
  <si>
    <t>ТП №13-7 (резерв ф. № 14 "Жил. поселок-2"                                           ПС 110/10 " Геологическая")</t>
  </si>
  <si>
    <t>ТП №13-8 (резерв ф. № 14 "Жил. поселок-2"                                           ПС 110/10 " Геологическая")</t>
  </si>
  <si>
    <t>ТП №13-7 (резерв ф. № 13 "Жил. поселок-1"                                           ПС 110/10 " Геологическая")</t>
  </si>
  <si>
    <t>ТП №13-8 (резерв ф. № 13 "Жил. поселок-1"                                           ПС 110/10 " Геологическая")</t>
  </si>
  <si>
    <t>ТП №12-5 (резерв ф. № 13 "Жил. поселок-1"                                           ПС 110/10 " Геологическая")</t>
  </si>
  <si>
    <t>ТП №13-4 (резерв ф. № 14 "Жил. поселок-2"                                           ПС 110/10 " Геологическая")</t>
  </si>
  <si>
    <t>ТП №4-2 (резерв ф. № 11 "Жил. поселок-2" ПС 110/10 " Хвойная")</t>
  </si>
  <si>
    <t>ТП №11-12 (резерв ф. № 14 "Жил. поселок-2"                                             ПС 110/10 " Геологическая")</t>
  </si>
  <si>
    <t>ТП №11-12 (резерв ф. № 13 "Жил. поселок-1"                                           ПС 110/10 " Геологическая")</t>
  </si>
  <si>
    <t>ТП №1-5 (резерв ф. № 9 "РП-4-2" ПС 110/10 " Хвойная")</t>
  </si>
  <si>
    <t>ТП №1-5 (резерв ф. № 23 "РП-4-1" ПС 110/10 " Хвойная")</t>
  </si>
  <si>
    <t>ТП №8-9 (резерв ф. № 20 "РП-1-1" ПС 110/10 " Хвойная")</t>
  </si>
  <si>
    <t>ТП №8-9 (резерв ф. № 8 "РП-1-2" ПС 110/10 " Хвойная")</t>
  </si>
  <si>
    <t>ТП №13-9 (резерв ф. № 14 "Жил. поселок-2"                                             ПС 110/10 " Геологическая")</t>
  </si>
  <si>
    <t>ТП №13-9 (резерв ф. № 13 "Жил. поселок-1"                                           ПС 110/10 " Геологическая")</t>
  </si>
  <si>
    <t>ТП №10-2 (резерв ф. № 20 "РП-1-1" ПС 110/10 " Хвойная")</t>
  </si>
  <si>
    <t>ТП №10-2 (резерв ф. № 8 "РП-1-2" ПС 110/10 " Хвойная")</t>
  </si>
  <si>
    <t>ТП №5-2 (резерв ф. № 6 "КОС-2-2" ПС 110/10 " Хвойная")</t>
  </si>
  <si>
    <t>ТП №5-2 (резерв ф. № 27 "ПМК-3-1" ПС 110/10 " Хвойная")</t>
  </si>
  <si>
    <t>ТП №11-7 (резерв ф. № 20 "РП-1-1" ПС 110/10 " Хвойная")</t>
  </si>
  <si>
    <t>ТП №11-7 (резерв ф. № 8 "РП-1-2" ПС 110/10 " Хвойная")</t>
  </si>
  <si>
    <t>ТП №17-7 (резерв ф. № 20 "Водозабор-2"                                                   ПС 110/10 " Геологическая")</t>
  </si>
  <si>
    <t>ТП №17-7 (резерв ф. № 19 "Лесозавод"                                                   ПС 110/10 " Геологическая")</t>
  </si>
  <si>
    <t>ТП №1-10 (резерв ф. № 23 "РП-4-1" ПС 110/10 " Хвойная")</t>
  </si>
  <si>
    <t>ТП №1-10 (резерв ф. № 9 "РП-4-2" ПС 110/10 " Хвойная")</t>
  </si>
  <si>
    <t>ТП №17-10 (резерв ф. № 5 "Поселок-1" ПС 110/10 " Мансийская")</t>
  </si>
  <si>
    <t>ТП №17-10 (резерв ф. № 2 "Поселок-2" ПС 110/10 " Мансийская")</t>
  </si>
  <si>
    <t>ТП №13-6 (резерв ф. № 13 "Жил. поселок-1"                                           ПС 110/10 " Геологическая")</t>
  </si>
  <si>
    <t>ТП №13-6 (резерв ф. № 14 "Жил. поселок-2"                                           ПС 110/10 " Геологическая")</t>
  </si>
  <si>
    <t>ТП №14-7 (резерв ф. № 3 "Нижний склад"                                                   ПС 110/10 " Геологическая")</t>
  </si>
  <si>
    <t>ТП №14-7 (резерв ф. № 4 "Лесокомбинат"                                                   ПС 110/10 " Геологическая")</t>
  </si>
  <si>
    <t>ТП №10-4 (резерв ф. № 8 "РП-1-2" ПС 110/10 " Хвойная")</t>
  </si>
  <si>
    <t>ТП №10-4 (резерв ф. № 20 "РП-1-1" ПС 110/10 " Хвойная")</t>
  </si>
  <si>
    <t>ТП №11-4 (резерв ф. № 20 "РП-1-1" ПС 110/10 " Хвойная")</t>
  </si>
  <si>
    <t>ТП №11-4 (резерв ф. № 1 "СОК-2" ПС 110/10 " Хвойная")</t>
  </si>
  <si>
    <t>ТП №10-7 (резерв ф. № 8 "РП-1-2" ПС 110/10 " Хвойная")</t>
  </si>
  <si>
    <t>ТП №10-7 (резерв ф. № 20 "РП-1-1" ПС 110/10 " Хвойная")</t>
  </si>
  <si>
    <t>ТП №9-1 (резерв ф. № 21 "Водозабор-1"                                                   ПС 110/10 " Геологическая")</t>
  </si>
  <si>
    <t>ТП №9-1 (резерв ф. № 4 "Лесокомбинат"                                                   ПС 110/10 " Геологическая")</t>
  </si>
  <si>
    <t>ТП №1-4 (резерв ф. № 23 "РП-4-1" ПС 110/10 " Хвойная")</t>
  </si>
  <si>
    <t>ТП №1-4 (резерв ф. № 9 "РП-4-2" ПС 110/10 " Хвойная")</t>
  </si>
  <si>
    <t>ТП №8-7 (резерв ф. № 8 "РП-1-2" ПС 110/10 " Хвойная")</t>
  </si>
  <si>
    <t>ТП №8-7 (резерв ф. № 20 "РП-1-1" ПС 110/10 " Хвойная")</t>
  </si>
  <si>
    <t>ТП №3-3 (резерв ф. № 27 "ПМК-3-1" ПС 110/10 " Хвойная")</t>
  </si>
  <si>
    <t>ТП №3-3 (резерв ф. № 12 "16 мкр" ПС 110/10 " Хвойная")</t>
  </si>
  <si>
    <t>ТП №4-1 (резерв ф. № 11 "Жил. поселок-2" ПС 110/10 " Хвойная")</t>
  </si>
  <si>
    <t>ТП №5-4 (резерв ф. № 11 "Жил. поселок-2" ПС 110/10 " Хвойная")</t>
  </si>
  <si>
    <t>ТП №4-1 (резерв ф. № 25 "Жил. поселок-1" ПС 110/10 " Хвойная")</t>
  </si>
  <si>
    <t>ТП №4-2 (резерв ф. № 25 "Жил. поселок-1" ПС 110/10 " Хвойная")</t>
  </si>
  <si>
    <t>ТП №5А-1 (резерв ф. № 25 "Жил. поселок-1" ПС 110/10 " Хвойная")</t>
  </si>
  <si>
    <t>ТП №5А-1 (резерв ф. № 11 "Жил. поселок-2" ПС 110/10 " Хвойная")</t>
  </si>
  <si>
    <t>ТП №5А-2 (резерв ф. № 11 "Жил. поселок-2" ПС 110/10 " Хвойная")</t>
  </si>
  <si>
    <t>ТП №5А-2 (резерв ф. № 25 "Жил. поселок-1" ПС 110/10 " Хвойная")</t>
  </si>
  <si>
    <t>ТП №6-7 (резерв ф. № 12 "16 мкр" ПС 110/10 " Хвойная")</t>
  </si>
  <si>
    <t>ТП №6-7 (резерв ф. № 27 "ПМК-3-1" ПС 110/10 " Хвойная")</t>
  </si>
  <si>
    <t>ТП №6-8 (резерв ф. № 27 "ПМК-3-1" ПС 110/10 " Хвойная")</t>
  </si>
  <si>
    <t>ТП №6-8 (резерв ф. № 12 "16 мкр" ПС 110/10 " Хвойная")</t>
  </si>
  <si>
    <t>ТП №6-9 (резерв ф. № 12 "16 мкр" ПС 110/10 " Хвойная")</t>
  </si>
  <si>
    <t>ТП №6-9 (резерв ф. № 27 "ПМК-3-1" ПС 110/10 " Хвойная")</t>
  </si>
  <si>
    <t>ТП №7-2 (резерв ф. № 27 "ПМК-3-1" ПС 110/10 " Хвойная")</t>
  </si>
  <si>
    <t>ТП №7-2 (резерв ф. № 12 "16 мкр" ПС 110/10 " Хвойная")</t>
  </si>
  <si>
    <t>ТП №7-3 (резерв ф. № 12 "16 мкр" ПС 110/10 " Хвойная")</t>
  </si>
  <si>
    <t>ТП №7-3 (резерв ф. № 27 "ПМК-3-1" ПС 110/10 " Хвойная")</t>
  </si>
  <si>
    <t>ТП №7-4 (резерв ф. № 11 "Жил. поселок-2" ПС 110/10 " Хвойная")</t>
  </si>
  <si>
    <t>ТП №8-11 (резерв ф. № 20 "РП-1-1" ПС 110/10 " Хвойная")</t>
  </si>
  <si>
    <t>ТП №8-11 (резерв ф. № 4 "Лесокомбинат"                                                   ПС 110/10 " Геологическая")</t>
  </si>
  <si>
    <t>ТП №11-3 (резерв ф. № 1 "СОК-2" ПС 110/10 " Хвойная")</t>
  </si>
  <si>
    <t>ТП №11-3 (резерв ф. № 33 "СОК-1" ПС 110/10 " Хвойная")</t>
  </si>
  <si>
    <t>ТП №12-2 (резерв ф. № 17 "Строитель"                                                    ПС 110/10 " Геологическая")</t>
  </si>
  <si>
    <t>ТП №13-12 (резерв ф. № 17 "Строитель"                                                    ПС 110/10 " Геологическая")</t>
  </si>
  <si>
    <t>ТП №13-12 (резерв ф. № 14 "Жил. Поселок-2"                                                    ПС 110/10 " Геологическая")</t>
  </si>
  <si>
    <t>ТП №13-5 (резерв ф. № 13 "Жил. поселок-1"                                           ПС 110/10 " Геологическая")</t>
  </si>
  <si>
    <t>ТП №13-5 (резерв ф. № 14 "Жил. поселок-2"                                             ПС 110/10 " Геологическая")</t>
  </si>
  <si>
    <t>ТП №14-13 (резерв ф. № 3 "Нижний склад"                                                   ПС 110/10 " Геологическая")</t>
  </si>
  <si>
    <t>ТП №14-13 (резерв ф. № 4 "Лесокомбинат"                                                   ПС 110/10 " Геологическая")</t>
  </si>
  <si>
    <t>ТП №16-1 (резерв ф. № 12 "16 мкр" ПС 110/10 " Хвойная")</t>
  </si>
  <si>
    <t>ТП №16-1 (резерв ф. № 3 "Нижний склад"                                                   ПС 110/10 " Геологическая")</t>
  </si>
  <si>
    <t>ТП №16-2 (резерв ф. № 3 "Нижний склад"                                                   ПС 110/10 " Геологическая")</t>
  </si>
  <si>
    <t>ТП №16-3 (резерв ф. № 3 "Нижний склад"                                                   ПС 110/10 " Геологическая")</t>
  </si>
  <si>
    <t>ТП №16-2 (резерв ф. № 12 "16 мкр" ПС 110/10 " Хвойная")</t>
  </si>
  <si>
    <t>ТП №16-3 (резерв ф. № 12 "16 мкр" ПС 110/10 " Хвойная")</t>
  </si>
  <si>
    <t>ТП №17-32 (резерв ф. № 5 "Поселок-1" ПС 110/10 " Мансийская")</t>
  </si>
  <si>
    <t>ТП №17-32 (резерв ф. № 2 "Поселок-2" ПС 110/10 " Мансийская")</t>
  </si>
  <si>
    <t>ЗРУ-10, яч. 13 резерв</t>
  </si>
  <si>
    <t>ЗРУ-10, яч. 14 резерв</t>
  </si>
  <si>
    <t>ЗРУ-10, яч. 3 резерв</t>
  </si>
  <si>
    <t>ЗРУ-10, яч. 4 резерв</t>
  </si>
  <si>
    <t>ЗРУ-10, яч. 8 резерв</t>
  </si>
  <si>
    <t>ОАО  "Тюменьэнерго"</t>
  </si>
  <si>
    <t>ПС 110/35/6 "Березово", ф. № 1</t>
  </si>
  <si>
    <t>ПС 110/35/6 "Березово", ф. № 3</t>
  </si>
  <si>
    <t>ПС 110/35/6 "Березово", ф. № 4</t>
  </si>
  <si>
    <t>ТП №16-109 (абонентская</t>
  </si>
  <si>
    <t>ЦРП г. Советский (резерв ф. 10 кВ "ЛПК-1", ПС 220/110/10 Картопья/ПС 110/10 Советская).</t>
  </si>
  <si>
    <t xml:space="preserve">Фактическая мощность </t>
  </si>
  <si>
    <t>Образец заполнения</t>
  </si>
  <si>
    <t>В зоне деятельности Березовского филиала АО «ЮРЭСК»</t>
  </si>
  <si>
    <t>1</t>
  </si>
  <si>
    <t>ПС-110/35/6 "Березово"</t>
  </si>
  <si>
    <t>АО "ЮРЭСК"</t>
  </si>
  <si>
    <t>ТП 11-1027(250кВА) 6/0,4 кВ</t>
  </si>
  <si>
    <t>ТП 11-1028(2х250кВА) 6/0,4 кВ</t>
  </si>
  <si>
    <t>ТП 11-1031(25кВА) 6/0,4 кВ</t>
  </si>
  <si>
    <t>2</t>
  </si>
  <si>
    <t>ТП 11-1012(2х400кВА) 6/0,4 кВ</t>
  </si>
  <si>
    <t>ТП 11-1013(250кВА) 6/0,4 кВ</t>
  </si>
  <si>
    <t>ТП 11-1014(2х400кВА) 6/0,4 кВ</t>
  </si>
  <si>
    <t>ТП 11-1015(2х630кВА) 6/0,4 кВ</t>
  </si>
  <si>
    <t>ТП 11-1016(160кВА) 6/0,4 кВ</t>
  </si>
  <si>
    <t>ТП 11-1017(250кВА) 6/0,4 кВ</t>
  </si>
  <si>
    <t>ТП 11-1018(250кВА) 6/0,4 кВ</t>
  </si>
  <si>
    <t>ТП 11-1019(400кВА) 6/0,4 кВ</t>
  </si>
  <si>
    <t>ТП 11-1020(2х630кВА) 6/0,4 кВ</t>
  </si>
  <si>
    <t>ТП 11-1022(2х400кВА) 6/0,4 кВ</t>
  </si>
  <si>
    <t>ТП 11-1024(250кВА) 6/0,4 кВ</t>
  </si>
  <si>
    <t>ТП 11-1057(1х100кВА) 6/0,4 кВ</t>
  </si>
  <si>
    <t>3</t>
  </si>
  <si>
    <t>ТП 11-1023(2х400кВА) 6/0,4 кВ</t>
  </si>
  <si>
    <t>ТП 11-1025(2х400кВА) 6/0,4 кВ</t>
  </si>
  <si>
    <t>ТП 11-1033(2х400кВА) 6/0,4 кВ</t>
  </si>
  <si>
    <t>ТП 11-1034(2х250кВА) 6/0,4 кВ</t>
  </si>
  <si>
    <t>ТП 11-1035(2х400кВА) 6/0,4 кВ</t>
  </si>
  <si>
    <t>ТП 11-1036(2х250кВА) 6/0,4 кВ</t>
  </si>
  <si>
    <t>ТП 11-1038(100кВА) 6/0,4 кВ</t>
  </si>
  <si>
    <t>ТП 11-1039(100кВА) 6/0,4 кВ</t>
  </si>
  <si>
    <t>ТП 11-1040(160кВА) 6/0,4 кВ</t>
  </si>
  <si>
    <t>ТП 11-1045(2х250кВА) 6/0,4 кВ</t>
  </si>
  <si>
    <t>ПС 110/35/6 "Березово", ф. № 5</t>
  </si>
  <si>
    <t>ТП 11-1001(400кВА) 6/0,4 кВ</t>
  </si>
  <si>
    <t>ТП 11-1003(2х250кВА) 6/0,4 кВ</t>
  </si>
  <si>
    <t>ТП 11-1004(2х250кВА) 6/0,4 кВ</t>
  </si>
  <si>
    <t>ТП 11-1006(2х250кВА) 6/0,4 кВ</t>
  </si>
  <si>
    <t>ТП 11-1007(2х400кВА) 6/0,4 кВ</t>
  </si>
  <si>
    <t>ТП 11-1008(100кВА) 6/0,4 кВ</t>
  </si>
  <si>
    <t>ТП 11-1010(100кВА) 6/0,4 кВ</t>
  </si>
  <si>
    <t>РП-ВЛ-6 кВ ф.№1 Березово</t>
  </si>
  <si>
    <t>ТП 11-1046(630 кВА) 6/0,4 кВ</t>
  </si>
  <si>
    <t>РП-ВЛ-6 кВ ф.№2 Березово</t>
  </si>
  <si>
    <t>ТП 11-1043(2х160кВА) 6/0,4 кВ</t>
  </si>
  <si>
    <t>ТП 11-1044(2х400кВА) 6/0,4 кВ</t>
  </si>
  <si>
    <t>РП-ВЛ-6 кВ ф.№3 Березово</t>
  </si>
  <si>
    <t>ТП 11-1026(2х250кВА) 6/0,4 кВ</t>
  </si>
  <si>
    <t>РП-ВЛ-6 кВ ф.№4 Березово</t>
  </si>
  <si>
    <t>ТП 11-1037(2х400кВА) 6/0,4 кВ</t>
  </si>
  <si>
    <t>ТП 11-1042(2х400кВА) 6/0,4 кВ</t>
  </si>
  <si>
    <t>ТП 11-1047(160 кВА) 6/0,4 кВ</t>
  </si>
  <si>
    <t>ТП 11-1048(160 кВА) 6/0,4 кВ</t>
  </si>
  <si>
    <t>ТП 11-1049(160 кВА) 6/0,4 кВ</t>
  </si>
  <si>
    <t>ТП 11-1050(250 кВА) 6/0,4 кВ</t>
  </si>
  <si>
    <t>ПС-ВЛ-6 кВ. ф. № 6, ф. № 7</t>
  </si>
  <si>
    <t>РП 11-1051(2х250 кВА) 6/0,4 кВ</t>
  </si>
  <si>
    <t>ВЛЗ-20 кВ Березово-Шайтанка от КЛ-20 кВ КПП 11-1053</t>
  </si>
  <si>
    <t>БКТП № 11-1032(1х400кВА) 20/0.4кв п.Шайтанка</t>
  </si>
  <si>
    <t>ВЛЗ-20 кВ Устрем</t>
  </si>
  <si>
    <t>ТП 11-1150(30 кВА) 20/0,4 кВ Устрем</t>
  </si>
  <si>
    <t xml:space="preserve">ВЛЗ-20 кВ Березово-Пугоры от КЛ-20 кВ   КПП 11-1053  </t>
  </si>
  <si>
    <t>БКТП 20/0.4 Пугоры №11-1052</t>
  </si>
  <si>
    <t>ВЛ-10 кВ от ТП 11-1153  ф.№1 Посёлок. Теги</t>
  </si>
  <si>
    <t>ТП 11-1143(630 кВА) 10/0,4 кВ</t>
  </si>
  <si>
    <t>ТП 11-1144(2х160 кВА) 10/0,4 кВ</t>
  </si>
  <si>
    <t>ТП 11-1145(250 кВА) 10/0,4 кВ</t>
  </si>
  <si>
    <t>ТП 11-1146(160 кВА) 10/0,4 кВ</t>
  </si>
  <si>
    <t>ТП 11-1147(160 кВА) 10/0,4 кВ</t>
  </si>
  <si>
    <t>ТП 11-1148(160 кВА) 10/0,4 кВ</t>
  </si>
  <si>
    <t>ТП 11-1149(160 кВА) 10/0,4 кВ</t>
  </si>
  <si>
    <t>ТП 11-1151(160 кВА) 10/0,4 кВ</t>
  </si>
  <si>
    <t>ТП 11-1152(250 кВА) 10/0,4 кВ</t>
  </si>
  <si>
    <t>ВЛ-6 кВ от РП-1 яч.№3 ф. Лесная 2 Игрим</t>
  </si>
  <si>
    <t>ТП 11-2086(2х400кВА)6/0,4 кВ</t>
  </si>
  <si>
    <t>ТП 11-2087(2х400кВА)6/0,4 кВ</t>
  </si>
  <si>
    <t>ТП 11-2088(400кВА)6/0,4 кВ</t>
  </si>
  <si>
    <t>ТП 11-2089(250кВА)6/0,4 кВ</t>
  </si>
  <si>
    <t>ТП 11-2101(400кВА)6/0,4 кВ</t>
  </si>
  <si>
    <t>ВЛ-6 кВ от РП-1 яч.№4  ф.Автозаправка Игрим</t>
  </si>
  <si>
    <t>ТП 11-2060(250кВА)6/0,4 кВ</t>
  </si>
  <si>
    <t>ТП 11-2062(400кВА)6/0,4 кВ</t>
  </si>
  <si>
    <t>ТП 11-2065(2х400кВА)6/0,4 кВ</t>
  </si>
  <si>
    <t>ТП 11-2066(400кВА)6/0,4 кВ</t>
  </si>
  <si>
    <t>ТП 11-2096(630кВА)6/0,4 кВ</t>
  </si>
  <si>
    <t>ТП 11-2103(400кВА)6/0,4 кВ</t>
  </si>
  <si>
    <t>ТП 11-2102(400кВА)6/0,4 кВ</t>
  </si>
  <si>
    <t>ВЛ-6 кВ от РП-1 яч.№5  ф. Мастерские ЦПК Игрим</t>
  </si>
  <si>
    <t>ТП 11-2092(250кВА)6/0,4 кВ</t>
  </si>
  <si>
    <t>ТП 11-2095(2х400кВА)6/0,4 кВ</t>
  </si>
  <si>
    <t>ВЛ-6 кВ от РП-1 яч.№12 ф. Ростелеком Игрим</t>
  </si>
  <si>
    <t>ТП 11-2067(630кВА)6/0,4 кВ</t>
  </si>
  <si>
    <t>ТП 11-2091(250кВА)6/0,4 кВ</t>
  </si>
  <si>
    <t>ТП 11-2093(250кВА)6/0,4 кВ</t>
  </si>
  <si>
    <t>ТП 11-2094(400кВА)6/0,4 кВ</t>
  </si>
  <si>
    <t>ТП 11-2097(1000кВА)6/0,4 кВ</t>
  </si>
  <si>
    <t>ВЛ-6 кВ от РП-1 яч.№13 ф. Лесная 1 Игрим</t>
  </si>
  <si>
    <t>ТП 11-2100(630кВА)6/0,4 кВ</t>
  </si>
  <si>
    <t>ВЛ-6 кВ от РП-2 яч.№17 ф.Аэропорт Игрим</t>
  </si>
  <si>
    <t>ТП 11-2110(250кВА)6/0,4 кВ</t>
  </si>
  <si>
    <t>ВЛ-6 кВ от РП-2 яч.№6 ф.Старый посёлок Игрим</t>
  </si>
  <si>
    <t>ТП 11-2077(630кВА)6/0,4 кВ</t>
  </si>
  <si>
    <t>ТП 11-2078(630кВА)6/0,4 кВ</t>
  </si>
  <si>
    <t>ТП 11-2079(630кВА)6/0,4 кВ</t>
  </si>
  <si>
    <t>ТП 11-2080(1000кВА)6/0,4 кВ</t>
  </si>
  <si>
    <t>ТП 11-2081(2х250кВА)6/0,4 кВ</t>
  </si>
  <si>
    <t>ТП 11-2082(400кВА)6/0,4 кВ</t>
  </si>
  <si>
    <t>ВЛ-6 кВ от РП-2 яч.№14  ф.Новый посёлок Игрим</t>
  </si>
  <si>
    <t>ТП 11-2068(250кВА)6/0,4 кВ</t>
  </si>
  <si>
    <t>ТП 11-2069(630кВА)6/0,4 кВ</t>
  </si>
  <si>
    <t>ТП 11-2070(630кВА)6/0,4 кВ</t>
  </si>
  <si>
    <t>ТП 11-2071(1000кВА)6/0,4 кВ</t>
  </si>
  <si>
    <t>ТП 11-2072(400кВА)6/0,4 кВ</t>
  </si>
  <si>
    <t>ТП 11-2074(400кВА)6/0,4 кВ</t>
  </si>
  <si>
    <t>ВЛ-6 кВ от РП-2 яч.№15 ф.СМУ Игрим</t>
  </si>
  <si>
    <t>ТП 11-2051(400кВА)6/0,4 кВ</t>
  </si>
  <si>
    <t>ТП 11-2055(250кВА)6/0,4 кВ</t>
  </si>
  <si>
    <t>ТП 11-2058(400кВА)6/0,4 кВ</t>
  </si>
  <si>
    <t>ТП 11-2059(400кВА)6/0,4 кВ</t>
  </si>
  <si>
    <t>ВЛ-6 кВ от РП-2 яч.№5 ф.Водозабор Игрим</t>
  </si>
  <si>
    <t>ТП 11-2075(160кВА)6/0,4 кВ</t>
  </si>
  <si>
    <t>ТП 11-2076(400кВА)6/0,4 кВ</t>
  </si>
  <si>
    <t>ТП 11-2084(2х400кВА)6/0,4 кВ</t>
  </si>
  <si>
    <t>ТП 11-2085(2х630кВА)6/0,4 кВ</t>
  </si>
  <si>
    <t>ТП 11-2099(2х630кВА)6/0,4 кВ</t>
  </si>
  <si>
    <t>ВЛЗ-6 кВ "КФХ" от опоры №1.2 до опоры 1.15 в составе фидера ВЛ-6 кВ "ГРС" с (яч.№13) КПП №11-2114  Игрим</t>
  </si>
  <si>
    <t>ТП 11-2115(250 кВА) 6/0,4 кВ</t>
  </si>
  <si>
    <t>ВЛ-10 кВ от ТП 11-2150 ф.Посёлок Ванзетур</t>
  </si>
  <si>
    <t>ТП 11-2151(63кВА)10/0,4 кВ</t>
  </si>
  <si>
    <t>ТП 11-2152(100кВА)10/0,4 кВ</t>
  </si>
  <si>
    <t>ТП 11-2153(400кВА)10/0,4 кВ</t>
  </si>
  <si>
    <t>ТП 11-2155(63кВА)10/0,4 кВ</t>
  </si>
  <si>
    <t>ТП 11-2156(25кВА)10/0,4 кВ</t>
  </si>
  <si>
    <t>ТП 11-2157(400кВА)10/0,4 кВ</t>
  </si>
  <si>
    <t>ТП 11-2158(160кВА)10/0,4 кВ</t>
  </si>
  <si>
    <t>ТП 11-2159(400кВА)10/0,4 кВ</t>
  </si>
  <si>
    <t>ТП 11-2176(400кВА)10/0,4 кВ</t>
  </si>
  <si>
    <t>ТП № 11-2154(100кВА)10/0,4 кВ (откл)</t>
  </si>
  <si>
    <t>ВЛЗ-20 кВ п. Н. Нарыкары ф.№1 "Школа" Н.Нарыкары</t>
  </si>
  <si>
    <t>ТП 11-2203(250кВА)20/0,4 кВ</t>
  </si>
  <si>
    <t>ВЛЗ-20 кВ  п. Н. Нарыкары ф.№2 "Детский сад" Н.Нарыкары</t>
  </si>
  <si>
    <t>ТП 11-2202(250кВА)20/0,4 кВ</t>
  </si>
  <si>
    <t>ТП 11-2201(250кВА)20/0,4 кВ</t>
  </si>
  <si>
    <t>ПС-110/6 "Пунга"</t>
  </si>
  <si>
    <t>ЗРУ ПС-ВЛ-6 кВ. ф. № 3 Светлый</t>
  </si>
  <si>
    <t>ТП 11-2160(250кВА)6/0,4 кВ</t>
  </si>
  <si>
    <t>ТП 11-2164(2х400кВА)6/0,4 кВ</t>
  </si>
  <si>
    <t>ТП 11-2169(400кВА)6/0,4 кВ</t>
  </si>
  <si>
    <t>ТП 11-2174 (160кВА) 6/0,4 кВ</t>
  </si>
  <si>
    <t>ЗРУ ПС-ВЛ-6 кВ. ф. № 4 Светлый</t>
  </si>
  <si>
    <t>ТП 11-2161(2х400кВА)6/0,4 кВ</t>
  </si>
  <si>
    <t>ТП 11-2162(400кВА)6/0,4 кВ</t>
  </si>
  <si>
    <t>ЗРУ ПС-ВЛ-6 кВ. ф. № 5 Светлый</t>
  </si>
  <si>
    <t>ТП 11-2163(400кВА)6/0,4 кВ</t>
  </si>
  <si>
    <t>ТП 11-2167(400кВА)6/0,4 кВ</t>
  </si>
  <si>
    <t>ТП 11-2168(400кВА)6/0,4 кВ</t>
  </si>
  <si>
    <t>ТП 11-2170(1)(400кВА)6/0,4 кВ</t>
  </si>
  <si>
    <t>ТП 11-2170(2)(400кВА)6/0,4 кВ</t>
  </si>
  <si>
    <t>В зоне деятельности Белоярского филиала АО «ЮРЭСК»</t>
  </si>
  <si>
    <t>Сети АО «ЮРЭСК»</t>
  </si>
  <si>
    <t>ТП -250  №10-6П1 "Собянина"</t>
  </si>
  <si>
    <t>ТП -160  №10-6П2 "Советская"</t>
  </si>
  <si>
    <t>ТП -2х400  №10-6П3 "Котельная-2"</t>
  </si>
  <si>
    <t>ТП -250  №10-6П5 "Речпорт"</t>
  </si>
  <si>
    <t>ТП -250  №10-6П6  "Пермякова"</t>
  </si>
  <si>
    <t>ТП -160  №10-6П7  "Холодильник"</t>
  </si>
  <si>
    <t>ТП -160  №10-6П8  "Лесная"</t>
  </si>
  <si>
    <t>ТП -160  №10-5П2  "РММ"</t>
  </si>
  <si>
    <t xml:space="preserve">ЗРУ-10, яч.7 </t>
  </si>
  <si>
    <t>АО "Россети Тюмень" Энергокомплекс”</t>
  </si>
  <si>
    <t>ПС 110 кВ "Белоярская"</t>
  </si>
  <si>
    <t>АО "Россети Тюмень"</t>
  </si>
  <si>
    <t>КТПН№10-1301"УПТК"</t>
  </si>
  <si>
    <t>КТПН№10-1303"ОРС-14"</t>
  </si>
  <si>
    <t>КТП № 10-1200 "Триумф"</t>
  </si>
  <si>
    <t>КТПН№10-607"Северянка"</t>
  </si>
  <si>
    <t>КТПН№10-602"Городок СУ-966"</t>
  </si>
  <si>
    <t>КТПН№10-1304"Спецгород"</t>
  </si>
  <si>
    <t>КТПН№10-1305"Озерный"</t>
  </si>
  <si>
    <t>ТП №10-1307 "Лада-2"</t>
  </si>
  <si>
    <t>СТП № 10-1308 "АГЗС"</t>
  </si>
  <si>
    <t>КТП №10-1309 "ЖБИ"</t>
  </si>
  <si>
    <t>КТПН №10-1312 "Дальний привод"</t>
  </si>
  <si>
    <t>КТПН №10-1316 "Спецгородок"</t>
  </si>
  <si>
    <t>КТПН №10-1317 "Озерный"</t>
  </si>
  <si>
    <t>КТПН №10-1318 "Озерный-2"</t>
  </si>
  <si>
    <t>отключена</t>
  </si>
  <si>
    <t>КТП №10-604 "Лада-1"</t>
  </si>
  <si>
    <t>ТП №10-001 "Кислор"</t>
  </si>
  <si>
    <t>ТП №10-002 "Кислор"</t>
  </si>
  <si>
    <t>ТП №10-003 "Строитель"</t>
  </si>
  <si>
    <t>ТП №10-004 "Строитель"</t>
  </si>
  <si>
    <t>ТП №10-005 "Строитель"</t>
  </si>
  <si>
    <t>ТП №10-006 "Трассовик"</t>
  </si>
  <si>
    <t>ТП №10-007 "Трассовик"</t>
  </si>
  <si>
    <t>ТП №10-008 "Трассовик"</t>
  </si>
  <si>
    <t>ТП №10-009  "Сосновый бор"</t>
  </si>
  <si>
    <t>ТП №10-010 "Ромашкино"</t>
  </si>
  <si>
    <t>ТП № 10-011 "Корешок"</t>
  </si>
  <si>
    <t>ТП № 10-012 "Корешок-2"</t>
  </si>
  <si>
    <t>ЗРУ-6 яч. 11, яч. 16</t>
  </si>
  <si>
    <t>КТПН №10-1201 "Крановый участок"</t>
  </si>
  <si>
    <t>КТПН №10-1202 "ЮТЭК"</t>
  </si>
  <si>
    <t>КТПН №10-1204 "СМУ-25"</t>
  </si>
  <si>
    <t>КТПН №10-1205 "1000 мелочей"</t>
  </si>
  <si>
    <t>КТПН №10-1206 "Медпункт"</t>
  </si>
  <si>
    <t>КТПН №10-1207 "Ближний привод"</t>
  </si>
  <si>
    <t>Итого по ПС "Белоярская"</t>
  </si>
  <si>
    <t xml:space="preserve">Филиал ПЭС «Казым» ПАО «Передвижная энергетика» </t>
  </si>
  <si>
    <t>ГТЭС-72 «Казым»</t>
  </si>
  <si>
    <t>ПЭС «Казым»</t>
  </si>
  <si>
    <t xml:space="preserve">3*25
</t>
  </si>
  <si>
    <t>РУ-10кВ яч. 119, 319</t>
  </si>
  <si>
    <t>КТПН №10-28 "Нов.бойлерная"</t>
  </si>
  <si>
    <t>РУ-10кВ яч. 108, 117</t>
  </si>
  <si>
    <t>КТП №10-2 "Школа №2"</t>
  </si>
  <si>
    <t>КТП №10-3 "3 микрорайон"</t>
  </si>
  <si>
    <t>КТП №10-4 "Детский сад"</t>
  </si>
  <si>
    <t>КТП №10-5 "Школа №3"</t>
  </si>
  <si>
    <t>КТП №10-7 "2мкр"</t>
  </si>
  <si>
    <t>КТП №10-8 "Плавбассейн"</t>
  </si>
  <si>
    <t>КТП №10-9 "Больничн. к-с"</t>
  </si>
  <si>
    <t>КТП №10-10 "Старая бол."</t>
  </si>
  <si>
    <t>КТП №10-14 "ОРС-6"</t>
  </si>
  <si>
    <t>КТП №10-18 "6мкр.нов"</t>
  </si>
  <si>
    <t>ТП №10-29 "7 мкр"</t>
  </si>
  <si>
    <t>ТП №10-30"Тепловой пункт Геолог"</t>
  </si>
  <si>
    <t>ТП №10-100 "КЦСОН"</t>
  </si>
  <si>
    <t>ТП №10-101 "Березка"</t>
  </si>
  <si>
    <t>ТП №10-102 "Гостиница"</t>
  </si>
  <si>
    <t>КТП №10-104 "Геолог"</t>
  </si>
  <si>
    <t>КТП №10-105 "5мкрн"</t>
  </si>
  <si>
    <t>РУ-10кВ яч. 219, 308</t>
  </si>
  <si>
    <t>ТП №10-1-РС "Шаллер"</t>
  </si>
  <si>
    <t>ТП №10-2-РС "РММ"</t>
  </si>
  <si>
    <t>КТП №10-6 "Клуб"</t>
  </si>
  <si>
    <t>ТП №10-10  "БНГР"</t>
  </si>
  <si>
    <t>ТП №10-12  "Кафе"</t>
  </si>
  <si>
    <t>КТП № 1011 "Дачный дом"</t>
  </si>
  <si>
    <t>ТП №10-13-РС  "Пождепо"</t>
  </si>
  <si>
    <t>ТП №10-15-РС "Хлебзавод"</t>
  </si>
  <si>
    <t>КТП №10-16 "1мкрн"</t>
  </si>
  <si>
    <t>ТП №10-17-РС "Молокозавод"</t>
  </si>
  <si>
    <t>КТП №10-27 "Милиция"</t>
  </si>
  <si>
    <t>ТП №10-33-РС "5, 5А мкрн"</t>
  </si>
  <si>
    <t>ТП №10-34-РС  "ТРЦ Плаза"</t>
  </si>
  <si>
    <t>ТП №10-35-РС "3А мкрн"</t>
  </si>
  <si>
    <t>ТП №10-36-РС "3А мкрн"</t>
  </si>
  <si>
    <t>ТП №10-2802-РС "Мирный"</t>
  </si>
  <si>
    <t>ТП №10-2803-РС "Молодежный"</t>
  </si>
  <si>
    <t>ТП №10-2804-РС "ПММК-14"</t>
  </si>
  <si>
    <t>ТП №10-2805-РС "6 мкрн. Частный сектор"</t>
  </si>
  <si>
    <t>РУ-10кВ яч. 309</t>
  </si>
  <si>
    <t>ТП №10-40  "ЮТЭЙР"</t>
  </si>
  <si>
    <t>Итого по ГТЭС-72 «Казым»</t>
  </si>
  <si>
    <t xml:space="preserve"> АО «ЮТЭК-РС»</t>
  </si>
  <si>
    <t>РТП ИТБ-13 1СШ (резерв ф. ЛХК-2 ПС 110/10 " Чара") АО "ЮТЭК-РС"</t>
  </si>
  <si>
    <t>н/д,  имущество АО «ЮТЭК-РС»</t>
  </si>
  <si>
    <t>ТП 5-115 1СШ (резерв ф. ЛХК-2 ПС 110/10 " Чара")</t>
  </si>
  <si>
    <t>АО «ЮТЭК-РС»</t>
  </si>
  <si>
    <t>ТП 5-06 1СШ (резерв ф. ЛХК-2 ПС 110/10 " Чара")АО "ЮТЭК-РС"</t>
  </si>
  <si>
    <t>н/д имущество АО «ЮТЭК-РС»</t>
  </si>
  <si>
    <t>АО"ЮРЭСК"</t>
  </si>
  <si>
    <t>ТП ИТБ-14 1СШ (резерв ф. ЛХК-2 ПС 110/10 " Чара")</t>
  </si>
  <si>
    <t>ТП 5-117 (резерв ф. ЛХК-2 ПС 110/10 " Чара")</t>
  </si>
  <si>
    <t>ТП 5-110 1СШ (резерв ф. РП 1-1 ПС 110/10 " Чульчам")</t>
  </si>
  <si>
    <t>ТП 5-111 2СШ (резерв ф. РП 1-1 ПС 110/10 " Чульчам")</t>
  </si>
  <si>
    <t>ТП ИТБ-14 2СШ (резерв ф. ЛХК-1 ПС 110/10 " Чара")</t>
  </si>
  <si>
    <t>ТП 5-06 2СШ (резерв ф. ЛХК-1 ПС 110/10 " Чара") АО "ЮТЭК-РС"</t>
  </si>
  <si>
    <t>ТП 5-115 2СШ ( резерв ф. ЛХК-1 ПС 110/10 " Чара")</t>
  </si>
  <si>
    <t>РТП ИТБ-13 2СШ (резерв ф. ЛХК-1 ПС 110/10 " Чара") АО "ЮТЭК-РС"</t>
  </si>
  <si>
    <t>РТП 2 1СШ (резерв ф. Транзит-2 ПС 110/10 " Чара") АО "ЮТЭК-РС"</t>
  </si>
  <si>
    <t>ТП 5-401 1СШ (резерв ф. РП 7-1 ПС 110/10 " Чара")</t>
  </si>
  <si>
    <t>ТП 5-402 1СШ (резерв ф. РП 7-1 ПС 110/10 " Чара")</t>
  </si>
  <si>
    <t>ТП 5-403 1СШ (резерв ф. РП 7-1 ПС 110/10 " Чара")</t>
  </si>
  <si>
    <t>ТП 5-406 1СШ (резерв ф. РП -7-1 ПС 110/10 " Чара")</t>
  </si>
  <si>
    <t>ТП 5-408 1СШ (резерв ф. РП 3-2 ПС 110/10 " Чульчам")</t>
  </si>
  <si>
    <t>ТП 5-404 1СШ (резерв ф. РП 7-1 ПС 110/10 " Чара")</t>
  </si>
  <si>
    <t>ТП 4-05 1СШ (резерв ф. РП 7-1 ПС 110/10 " Чара")</t>
  </si>
  <si>
    <t>ТП 5-206 1СШ (резерв ф. Транзит-2 ПС 110/10 " Чара")</t>
  </si>
  <si>
    <t>ТП "Стройка" Мини-рынок</t>
  </si>
  <si>
    <t>ТП потребителя</t>
  </si>
  <si>
    <t>ТП 2-04 1СШ (резерв ф. Транзит-2 ПС 110/10 " Чара")АО "ЮТЭК-РС"</t>
  </si>
  <si>
    <t>ТП 5-203 1СШ (резерв ф. Транзит-2 ПС 110/10 " Чара")</t>
  </si>
  <si>
    <t>ТП 5-205 1СШ (резерв ф. Транзит-2 ПС 110/10 " Чара")</t>
  </si>
  <si>
    <t>ТП 5-6</t>
  </si>
  <si>
    <t>ТП Карат</t>
  </si>
  <si>
    <t>ТП 5-202 1СШ (резерв ф. Транзит-2 ПС 110/10 " Чара")</t>
  </si>
  <si>
    <t>РТП- 2 2СШ (резерв ф. Транзит-1 ПС 110/10 " Чара")АО "ЮТЭК-РС"</t>
  </si>
  <si>
    <t>ТП 5-202 2СШ (резерв ф. Транзит-1 ПС 110/10 " Чара")</t>
  </si>
  <si>
    <t>ТП 5-203 2СШ (резерв ф. Транзит-1 ПС 110/10 " Чара")</t>
  </si>
  <si>
    <t>ТП 5-206 2СШ (резерв ф. Транзит-1 ПС 110/10 " Чара")</t>
  </si>
  <si>
    <t>ТП 2-04 2СШ (резерв ф. Транзит-1 ПС 110/10 " Чара")АО "ЮТЭК-РС"</t>
  </si>
  <si>
    <t>ТП 5-205 2СШ (резерв ф. Транзит-1 ПС 110/10 " Чара")</t>
  </si>
  <si>
    <t>ТП ГСК Центральный</t>
  </si>
  <si>
    <t>ТП 5-401 2СШ  (резерв ф. РП -3-2 ПС 110/10 " Чульчам")</t>
  </si>
  <si>
    <t>ТП Свиридов</t>
  </si>
  <si>
    <t>ТП 5-402 2СШ (резерв ф. РП -3-2 ПС 110/10 " Чульчам")</t>
  </si>
  <si>
    <t>ТП 5-403 2СШ (резерв ф. РП 3-2 ПС 110/10 " Чульчам")</t>
  </si>
  <si>
    <t>ТП 5-406 2СШ (резерв ф. РП 3-2 ПС 110/10 " Чульчам")</t>
  </si>
  <si>
    <t>ТП 5-408 2СШ (резерв ф. РП 7-1 ПС 110/10 " Чара")</t>
  </si>
  <si>
    <t>ТП 5-404 2СШ (резерв ф. РП 3-2 ПС 110/10 " Чульчам")</t>
  </si>
  <si>
    <t>ТП 4-05 2СШ (резерв ф. РП 3-2 ПС 110/10 " Чульчам")</t>
  </si>
  <si>
    <t>ТП 5-1422 1СШ (резерв ф. РП 17-2 ПС 110/10 " Чара")</t>
  </si>
  <si>
    <t>ТП 5-1424 1СШ (резерв ф. РП 17-2 ПС 110/10 " Чара")</t>
  </si>
  <si>
    <t>ТП5-1426 1СШ (резерв ф. РП 17-2 ПС 110/10 " Чара")</t>
  </si>
  <si>
    <t>ТП 14-43 1СШ (резерв ф. РП 17-2 ПС 110/10 " Чара")АО "ЮТЭК-РС"</t>
  </si>
  <si>
    <t>ТП 5-1453</t>
  </si>
  <si>
    <t>ТП 5-1401 (резерв ф. Фин. комплекс ПС 110/10 " Чара")</t>
  </si>
  <si>
    <t>ТП 5-1508 (резерв ф. Пождепо-1 ПС 110/10 " Чара")</t>
  </si>
  <si>
    <t>ТП 5-1418 1СШ (резерв ф. Пождепо-1 ПС 110/10 " Чара")</t>
  </si>
  <si>
    <t>ТП 5-1438 1СШ (резерв ф. РП 17-2 ПС 110/10 " Чара")</t>
  </si>
  <si>
    <t>ТП 5-1506</t>
  </si>
  <si>
    <t>ТП 5-1503</t>
  </si>
  <si>
    <t>ТП 5-1501</t>
  </si>
  <si>
    <t>РТП 5-17 1СШ (резерв ф. РП 17-2 ПС 110/10 " Чара")</t>
  </si>
  <si>
    <t>ТП 14-16 1СШ (резерв ф. РП 17-2 ПС 110/10 " Чара")АО "ЮТЭК-РС"</t>
  </si>
  <si>
    <t>РТП 5-17 2СШ(резерв ф. РП 17-1 ПС 110/10 " Чара")</t>
  </si>
  <si>
    <t>ТП 5-1449 2СШ  (резерв ф. Пождепо-1 ПС 110/10 " Чара")</t>
  </si>
  <si>
    <t>ТП 5-1438 2СШ (резерв ф. РП 17-1 ПС 110/10 " Чара")</t>
  </si>
  <si>
    <t>ТП 14-16 2СШ (резерв ф. РП 17-1 ПС 110/10 " Чара")АО "ЮТЭК-РС"</t>
  </si>
  <si>
    <t>ТП 14-43 2СШ (резерв ф. РП 17-1 ПС 110/10 " Чара")АО "ЮТЭК-РС"</t>
  </si>
  <si>
    <t>ТП 5-1422 2СШ (резерв ф. РП 17-1 ПС 110/10 " Чара")</t>
  </si>
  <si>
    <t>ТП 5-1462</t>
  </si>
  <si>
    <t>ТП 5-1424 2СШ (резерв ф. РП 17-1 ПС 110/10 " Чара")</t>
  </si>
  <si>
    <t>ТП Геофизик</t>
  </si>
  <si>
    <t>ТП 5-1460</t>
  </si>
  <si>
    <t>ТП 14-42</t>
  </si>
  <si>
    <t>ТП Строитель</t>
  </si>
  <si>
    <t>ТП 5-1426 2СШ (резерв ф. РП 17-1 ПС 110/10 " Чара")</t>
  </si>
  <si>
    <t>ТП Бегашев</t>
  </si>
  <si>
    <t>ТП 5-1419</t>
  </si>
  <si>
    <t>ТП ГСК Мотор</t>
  </si>
  <si>
    <t xml:space="preserve"> ТП 14-48 АО "ЮТЭК-РС"</t>
  </si>
  <si>
    <t>ТП 5-1439</t>
  </si>
  <si>
    <t>ТП ГСК Трубник</t>
  </si>
  <si>
    <t>ТП 5-1436</t>
  </si>
  <si>
    <t>ТП 5-1406 2СШ (резерв ф. Таежный ПС 110/10 " Чара")</t>
  </si>
  <si>
    <t>Ростелеком 2СШ (резерв ф. Таежный ПС 110/10 " Чара")</t>
  </si>
  <si>
    <t>ТП 5-5 (резерв ф. ЛХК-2 ПС 110/10 " Чара")</t>
  </si>
  <si>
    <t>ТП 5-2301</t>
  </si>
  <si>
    <t>ТП ЦРП-1 (резерв ф. РП 6-2 110/10 " Чара")</t>
  </si>
  <si>
    <t>ТП БПРМ 344  (резерв ф. РП 6-2 110/10 " Чара")</t>
  </si>
  <si>
    <t>2х40</t>
  </si>
  <si>
    <t>КДП  (резерв ф. РП 6-2 110/10 " Чара")</t>
  </si>
  <si>
    <t>ТП ДПРМ 344 (резерв ф. РП 6-2 110/10 " Чара")</t>
  </si>
  <si>
    <t>2х63</t>
  </si>
  <si>
    <t>ТП Глиссанда</t>
  </si>
  <si>
    <t>ТП ЦРП-2  (резерв ф. РП 6-2 110/10 " Чара")</t>
  </si>
  <si>
    <t>ТП СДП</t>
  </si>
  <si>
    <t>ТП 14-47 АО "ЮТЭК-РС"</t>
  </si>
  <si>
    <t>ТП 5-1458</t>
  </si>
  <si>
    <t>ТП ДНТ Полянка</t>
  </si>
  <si>
    <t>ТП 5-1459</t>
  </si>
  <si>
    <t>ТП ТНК</t>
  </si>
  <si>
    <t>ТП 14-46 АО "ЮТЭК-РС"</t>
  </si>
  <si>
    <t>ТП 14-45 АО "ЮТЭК-РС"</t>
  </si>
  <si>
    <t>ТП 5-1415 1СШ  (резерв ф. РП 6-2 110/10 " Чара")</t>
  </si>
  <si>
    <t>ТП 5-1420</t>
  </si>
  <si>
    <t>ТП 14-50 АО "ЮТЭК-РС"</t>
  </si>
  <si>
    <t>ТП 14-17</t>
  </si>
  <si>
    <t>ТП 5-1452</t>
  </si>
  <si>
    <t>РТП 5-11  (резерв ф. РП 6-2 110/10 " Чара")</t>
  </si>
  <si>
    <t>РТП5-6 1СШ  (резерв ф. РП 6-2 110/10 " Чара")</t>
  </si>
  <si>
    <t>РТП5-6 2СШ  (резерв ф. РП 6-1 110/10 " Чара")</t>
  </si>
  <si>
    <t>РТП 5-11  (резерв ф. РП 6-1 110/10 " Чара")</t>
  </si>
  <si>
    <t xml:space="preserve">ТП 5-1437 </t>
  </si>
  <si>
    <t>ТП 5-1440</t>
  </si>
  <si>
    <t>ТП 5-1441</t>
  </si>
  <si>
    <t>ТП 5-1457</t>
  </si>
  <si>
    <t>ТП 5-1461</t>
  </si>
  <si>
    <t>АО "ЮТЭК-РС</t>
  </si>
  <si>
    <t>ТП 14-10</t>
  </si>
  <si>
    <t>ТП 14-11</t>
  </si>
  <si>
    <t>ТП 5-1415 2СШ  (резерв ф. РП 6-1 110/10 " Чара")</t>
  </si>
  <si>
    <t>Пекарня ТД Контакт</t>
  </si>
  <si>
    <t>ТП 14-44 1СШ  (резерв ф. Таёжный 110/10 " Чара")АО "ЮТЭК-РС"</t>
  </si>
  <si>
    <t>ТП 5-1435</t>
  </si>
  <si>
    <t>ТП5-1463</t>
  </si>
  <si>
    <t>ТП 5-1433</t>
  </si>
  <si>
    <t>ТП ЦРП-1 (резерв ф. РП 6-1 110/10 " Чара")</t>
  </si>
  <si>
    <t>КДП  (резерв ф. РП 6-1 110/10 " Чара")</t>
  </si>
  <si>
    <t>ТП БПРМ 344  (резерв ф. РП 6-1 110/10 " Чара")</t>
  </si>
  <si>
    <t>ТП ДПРМ 344 (резерв ф. РП 6-1 110/10 " Чара")</t>
  </si>
  <si>
    <t>ТП ЦРП-2  (резерв ф. РП 6-1 110/10 " Чара")</t>
  </si>
  <si>
    <t>ТП5-2302</t>
  </si>
  <si>
    <t>ТП 5-1412 1СШ (резерв ф. Центральный 110/10 " Чара")</t>
  </si>
  <si>
    <t>ТП 5-1425 1СШ  (резерв ф. Центральный 110/10 " Чара")</t>
  </si>
  <si>
    <t>ТП 5-1456</t>
  </si>
  <si>
    <t>ТП 5-1428 1СШ  (резерв ф. Центральный 110/10 " Чара")</t>
  </si>
  <si>
    <t>ТП 5-1431 2СШ  (резерв ф. Центральный 110/10 " Чара")</t>
  </si>
  <si>
    <t>ТП 5-1423</t>
  </si>
  <si>
    <t>ТП 5-1402</t>
  </si>
  <si>
    <t>ТП 5-1404  (резерв ф. РП 17-2 110/10 " Чара")</t>
  </si>
  <si>
    <t>ТП 5-1403</t>
  </si>
  <si>
    <t>ТП 5-1413</t>
  </si>
  <si>
    <t>ТП 5-1406 1СШ  (резерв ф. РП 17-2 ПС 110/10 " Чара")</t>
  </si>
  <si>
    <t>ТП 5-1405 (резерв ф. РП 17-2 110/10 " Чара")</t>
  </si>
  <si>
    <t>ТП 36-01 1СШ (резерв ф. Центральный 110/10 " Чара")</t>
  </si>
  <si>
    <t>ТП 36-02 1СШ (резерв ф. Центральный 110/10 " Чара")</t>
  </si>
  <si>
    <t>ТП 37-01 1СШ (резерв ф. Центральный 110/10 " Чара")</t>
  </si>
  <si>
    <t>ТП 36-03 1СШ (резерв ф. Центральный 110/10 " Чара")</t>
  </si>
  <si>
    <t>ТП 5-1407 1СШ (резерв ф. Центральный 110/10 " Чара")</t>
  </si>
  <si>
    <t>ТП 5-1421</t>
  </si>
  <si>
    <t>ТП 5-1455</t>
  </si>
  <si>
    <t>ТП 5-1430</t>
  </si>
  <si>
    <t>ТП 5-1429</t>
  </si>
  <si>
    <t>ТП 14-44 2СШ (резерв ф. РП 6-2 110/10 " Чара")</t>
  </si>
  <si>
    <t>ТП 5-1427</t>
  </si>
  <si>
    <t>ТП Ростелеком 1СШ  (резерв ф. РП 17-2 ПС 110/10 " Чара")</t>
  </si>
  <si>
    <t>ТП 5-1454</t>
  </si>
  <si>
    <t>ТП Нагорный</t>
  </si>
  <si>
    <t>ТП ГСК Сибиряк</t>
  </si>
  <si>
    <t>ТП ГСК Юган</t>
  </si>
  <si>
    <t>ТП 5-1408</t>
  </si>
  <si>
    <t>ТП 5-1451</t>
  </si>
  <si>
    <t>ТП 5-1509</t>
  </si>
  <si>
    <t>ТП 5-1505</t>
  </si>
  <si>
    <t>ТП 5-1504</t>
  </si>
  <si>
    <t>ТП 5-1502</t>
  </si>
  <si>
    <t>ТП 5-1507 (резерв ф. Пождепо-1,2 110/10 " Чара")</t>
  </si>
  <si>
    <t>ТП 5-1409</t>
  </si>
  <si>
    <t>ТП 5-1407 2СШ (резерв ф. Таежный 110/10 " Чара")</t>
  </si>
  <si>
    <t>ТП 36-01 2СШ (резерв ф. Таежный 110/10 " Чара")</t>
  </si>
  <si>
    <t>ТП 36-02 2СШ (резерв ф. Таежный 110/10 " Чара")</t>
  </si>
  <si>
    <t>ТП 37-01 2СШ (резерв ф. Таежный 110/10 " Чара")</t>
  </si>
  <si>
    <t>ТП 36-03 2СШ (резерв ф. Таежный 110/10 " Чара")</t>
  </si>
  <si>
    <t>ТП 5-1425 2СШ (резерв ф. Таежный 110/10 " Чара")</t>
  </si>
  <si>
    <t>ТП 5-1412 2СШ (резерв ф. Таежный 110/10 " Чара")</t>
  </si>
  <si>
    <t>ТП Шампанер</t>
  </si>
  <si>
    <t>ТП 5-1428 2СШ (резерв ф. Таежный 110/10 " Чара")</t>
  </si>
  <si>
    <t>ТП 5-1431 1СШ (резерв ф. Таежный 110/10 " Чара")</t>
  </si>
  <si>
    <t>ТП 5-601 1СШ (резерв ф. РП 3-2 110/10 " Чульчам")</t>
  </si>
  <si>
    <t>ТП 5-602 (резерв ф. РП 3-2 110/10 " Чульчам")</t>
  </si>
  <si>
    <t>ТП 5-603 (резерв ф. РП 3-2 110/10 " Чульчам")</t>
  </si>
  <si>
    <t>ТП 5-604 (резерв ф. РП 3-2 110/10 " Чульчам")</t>
  </si>
  <si>
    <t>ТП 5-606 1СШ (резерв ф. РП 3-2 110/10 " Чульчам")</t>
  </si>
  <si>
    <t>ТП 5-607 1СШ (резерв ф. РП 3-2 110/10 " Чульчам")</t>
  </si>
  <si>
    <t>ТП 5-501 1СШ(резерв ф. РП 3-2 110/10 " Чульчам")</t>
  </si>
  <si>
    <t>ТП 5-505 (резерв ф. РП 7-1 110/10 " Чара")</t>
  </si>
  <si>
    <t>ТП 5-502 1СШ (резерв ф. РП 3-2 110/10 " Чульчам")</t>
  </si>
  <si>
    <t>ТП 5-510 (резерв ф. РП 3-2 110/10 " Чульчам")</t>
  </si>
  <si>
    <t>ТП 5-503 (резерв ф. РП 7-1 110/10 " Чара")</t>
  </si>
  <si>
    <t>ТП 5-713 2СШ (резерв ф. РП 7-1 110/10 " Чара")</t>
  </si>
  <si>
    <t>ТП 5-712 2СШ (резерв ф. РП 7-1 110/10 " Чара")</t>
  </si>
  <si>
    <t>ТП 5-703 (резерв ф. РП 3-2 110/10 " Чульчам")</t>
  </si>
  <si>
    <t>ТП 5-704 (резерв ф. РП 3-2 110/10 " Чульчам")</t>
  </si>
  <si>
    <t>ТП 5-705 (резерв ф. РП 3-2 110/10 " Чульчам")</t>
  </si>
  <si>
    <t>ТП 5-706 (резерв ф. РП 3-2 110/10 " Чульчам")</t>
  </si>
  <si>
    <t>ТП 5-707 (резерв ф. РП 3-2 110/10 " Чульчам")</t>
  </si>
  <si>
    <t>ТП 5-708 (резерв ф. РП 3-2 110/10 " Чульчам")</t>
  </si>
  <si>
    <t>ТП 5-709 (резерв ф. РП 3-2 110/10 " Чульчам")</t>
  </si>
  <si>
    <t>ТП 7-15 1СШ (резерв ф. РП 3-2 110/10 " Чульчам") АО "ЮТЭК-РС"</t>
  </si>
  <si>
    <t>ТП 5-407 1СШ (резерв ф. РП 3-2 110/10 " Чульчам")</t>
  </si>
  <si>
    <t>ТП 5-408 1СШ (резерв ф. РП 3-2 110/10 " Чульчам")</t>
  </si>
  <si>
    <t>ТП 5-409 1СШ (резерв ф. РП 3-2 110/10 " Чульчам")</t>
  </si>
  <si>
    <t>ТП 5-406 2СШ (резерв ф. РП 7-1 110/10 " Чара")</t>
  </si>
  <si>
    <t>ЗРУ-10, яч. 7 Пождепо-1</t>
  </si>
  <si>
    <t>ТП 5-1507 1СШ (резерв ф. Финский комплекс 110/10 " Чара")</t>
  </si>
  <si>
    <t>ТП 5-1432</t>
  </si>
  <si>
    <t>ТП 5-1434</t>
  </si>
  <si>
    <t>ТП 5-1418 2СШ (резерв ф. РП 17-1 110/10 " Чара")</t>
  </si>
  <si>
    <t>ТП 5-1449 1СШ (резерв ф. РП 17-2 110/10 " Чара")</t>
  </si>
  <si>
    <t>ЗРУ-10, яч. 22 Пождепо-2</t>
  </si>
  <si>
    <t>ТП 5-1507 2СШ (резерв ф. Финский комплекс 110/10 " Чара")</t>
  </si>
  <si>
    <t>ТП 10-01</t>
  </si>
  <si>
    <t>Подключены от сетей АО "ЮТЭК-РС" (РТП-1)</t>
  </si>
  <si>
    <t>ТП 10-02</t>
  </si>
  <si>
    <t>В зоне деятельности Няганьского филиала АО «ЮРЭСК»</t>
  </si>
  <si>
    <t>ТП № 16-182</t>
  </si>
  <si>
    <t>ТП № 16-169</t>
  </si>
  <si>
    <t>ТП № 16-170</t>
  </si>
  <si>
    <t>ТП № 16-056</t>
  </si>
  <si>
    <t>ТП № 16-029 (ф.10кВ "Посёлок от ПС 220/110/10 Картопья)</t>
  </si>
  <si>
    <t>ТП№16-043</t>
  </si>
  <si>
    <t>ТП №16-114(Абонентская)</t>
  </si>
  <si>
    <t>ТП №16-115(Абонентская)</t>
  </si>
  <si>
    <t xml:space="preserve">ТП №16-125 </t>
  </si>
  <si>
    <t>ТП №16-176</t>
  </si>
  <si>
    <t>ТП №16-194</t>
  </si>
  <si>
    <t>ТП №16-195</t>
  </si>
  <si>
    <t>ТП №16-196</t>
  </si>
  <si>
    <t>ТП №16-197</t>
  </si>
  <si>
    <t>ТП №16-141(Абонентская)</t>
  </si>
  <si>
    <t>ТП №16-188(Абонентская)</t>
  </si>
  <si>
    <t>ТП №16-1001</t>
  </si>
  <si>
    <t xml:space="preserve">ТП №16-121 </t>
  </si>
  <si>
    <t>ТП №16-1004</t>
  </si>
  <si>
    <t>ТП №16-178(абонентская)</t>
  </si>
  <si>
    <t>ТП №16-189(абонентская)</t>
  </si>
  <si>
    <t>ТП №16-018п (абонентская)</t>
  </si>
  <si>
    <t>ТП №16-171</t>
  </si>
  <si>
    <t>ТП №16-009</t>
  </si>
  <si>
    <t>ТП №16-013</t>
  </si>
  <si>
    <t>ТП №16-016</t>
  </si>
  <si>
    <t>ТП №16-084п (абонентская)</t>
  </si>
  <si>
    <t>ТП №16-149п (абонентская)</t>
  </si>
  <si>
    <t>ТП №16-157п (абонентская)</t>
  </si>
  <si>
    <t>ТП №16-158п (абонентская)</t>
  </si>
  <si>
    <t>ТП №16-172п (абонентская)</t>
  </si>
  <si>
    <t xml:space="preserve">ТП №16-175 </t>
  </si>
  <si>
    <t>ТП №16-183п (абонентская)</t>
  </si>
  <si>
    <t>ТП №16-191п (абонентская)</t>
  </si>
  <si>
    <t>ТП №16-102</t>
  </si>
  <si>
    <t>ТП №16-109</t>
  </si>
  <si>
    <t>ТП №16-117п (абонентская)</t>
  </si>
  <si>
    <t>ТП №16-119п (абонентская)</t>
  </si>
  <si>
    <t>ТП №16-137п (абонентская)</t>
  </si>
  <si>
    <t>ТП №16-1006</t>
  </si>
  <si>
    <t>Ф. 10кВ "ЦРП (Аэропорт)" яч.№18</t>
  </si>
  <si>
    <t>ТП №16-107</t>
  </si>
  <si>
    <t>ТП №16-136</t>
  </si>
  <si>
    <t>ТП №16-143</t>
  </si>
  <si>
    <t>ТП №16-160</t>
  </si>
  <si>
    <t>ТП №16-177</t>
  </si>
  <si>
    <t>ТП №16-179</t>
  </si>
  <si>
    <t>ТП №16-025</t>
  </si>
  <si>
    <t>ТП №16-181 (абонентская)</t>
  </si>
  <si>
    <t>ТП №16-132п (абонентская)</t>
  </si>
  <si>
    <t>ТП №16-173 (абонентская)</t>
  </si>
  <si>
    <t>ТП №16-174 (абонентская)</t>
  </si>
  <si>
    <t>ТП №16-184 (абонентская)</t>
  </si>
  <si>
    <t>ТП №16-185 (абонентская)</t>
  </si>
  <si>
    <t>ТП №16-187</t>
  </si>
  <si>
    <t>ТП №16-190 (абонентская)</t>
  </si>
  <si>
    <t>ТП №16-199 (абонентская)</t>
  </si>
  <si>
    <t>ТП №16-200</t>
  </si>
  <si>
    <t>ТП №16-1002</t>
  </si>
  <si>
    <t>ТП №16-060</t>
  </si>
  <si>
    <t>ТП №16-168</t>
  </si>
  <si>
    <t>ТП №16-169</t>
  </si>
  <si>
    <t>ТП №16-170</t>
  </si>
  <si>
    <t>ТП №16-186</t>
  </si>
  <si>
    <t>Ф. 10кВ "Аэропорт" яч.№9</t>
  </si>
  <si>
    <t xml:space="preserve">ТП №16-1000 </t>
  </si>
  <si>
    <t xml:space="preserve">ТП №16-1003 </t>
  </si>
  <si>
    <t>ТП №16-084 (абонентская)</t>
  </si>
  <si>
    <t>ТП №16-149 (абонентская)</t>
  </si>
  <si>
    <t>ТП №16-157 (абонентская) (резерв ф. 10 кВ "Котельная-2"                    ПС 110/10 "Соболиная"</t>
  </si>
  <si>
    <t>ТП №16-162 (абонентская) (резерв ф. 10 кВ "Котельная-2" 
ПС 110/10 " Соболиная")</t>
  </si>
  <si>
    <t>ТП №16-175 (абонентская)</t>
  </si>
  <si>
    <t>ТП №16-183 (абонентская)</t>
  </si>
  <si>
    <t>ТП №16-191</t>
  </si>
  <si>
    <t>7,9</t>
  </si>
  <si>
    <t>ТП №16-157 (абонентская)(резерв ф. 10 кВ "Котельная-1"                        ПС 110/10 "Соболиная"</t>
  </si>
  <si>
    <t>ТП №16-162 (абонентская) (резерв ф. 10 кВ "Котельная-1" 
ПС 110/10 " Соболиная")</t>
  </si>
  <si>
    <t xml:space="preserve">ТП №16-1005 </t>
  </si>
  <si>
    <t xml:space="preserve">ТП №16-053 </t>
  </si>
  <si>
    <t xml:space="preserve">ТП №16-054 </t>
  </si>
  <si>
    <t xml:space="preserve">ТП №16-057 </t>
  </si>
  <si>
    <t xml:space="preserve">ТП №16-083 </t>
  </si>
  <si>
    <t>ТП №16-106 (абонентская)</t>
  </si>
  <si>
    <t>ТП №16-123</t>
  </si>
  <si>
    <t>19,75</t>
  </si>
  <si>
    <t>ТП №16-192</t>
  </si>
  <si>
    <t>ТП №16-193</t>
  </si>
  <si>
    <t>ТП №16-198</t>
  </si>
  <si>
    <t>ТП №16-710</t>
  </si>
  <si>
    <t>ТП №16-714</t>
  </si>
  <si>
    <t>ТП №16-614 (абонентская)</t>
  </si>
  <si>
    <t>ТП №16-626 (абонентская)</t>
  </si>
  <si>
    <t>ТП №16-627 (абонентская)</t>
  </si>
  <si>
    <t>ТП №16-624 (абонентская)</t>
  </si>
  <si>
    <t>ТП №16-625 (абонентская)</t>
  </si>
  <si>
    <t>Ф. 10кВ "Поселок-1" яч.№13</t>
  </si>
  <si>
    <t>ТП №16-813</t>
  </si>
  <si>
    <t>ТП №16-814 (абоненская)</t>
  </si>
  <si>
    <t>ТП №16-815</t>
  </si>
  <si>
    <t>ТП №16-816</t>
  </si>
  <si>
    <t>Ф. 10кВ "Поселок-2" яч.№4</t>
  </si>
  <si>
    <t>ТП №16-817</t>
  </si>
  <si>
    <t>ТП №16-818</t>
  </si>
  <si>
    <t>Ф. 10кВ "Буферный склад" яч.№12</t>
  </si>
  <si>
    <t>ТП №16-803 (абоненская)</t>
  </si>
  <si>
    <t>ТП №16-309</t>
  </si>
  <si>
    <t>ТП №16-311</t>
  </si>
  <si>
    <t>ТП №16-312</t>
  </si>
  <si>
    <t>ТП №16-313</t>
  </si>
  <si>
    <t>ТП №16-314 (абоненская)</t>
  </si>
  <si>
    <t>ТП №16-401 (Н)</t>
  </si>
  <si>
    <t>ТП №16-414 (абонентская)</t>
  </si>
  <si>
    <t>ТП №16-417</t>
  </si>
  <si>
    <t>ТП №16-420</t>
  </si>
  <si>
    <t>ТП №16-423</t>
  </si>
  <si>
    <t>ТП №16-214</t>
  </si>
  <si>
    <t>ТП №16-226 (абонентская)</t>
  </si>
  <si>
    <t>ТП №16-232 (абонентская)</t>
  </si>
  <si>
    <t>ТП №16-238</t>
  </si>
  <si>
    <t>ТП №16-236</t>
  </si>
  <si>
    <t>ТП №16-229 (абонентская)</t>
  </si>
  <si>
    <t>ТП №16-231 (абонентская)</t>
  </si>
  <si>
    <t>Ф. 10кВ "Алябьево-2" яч.№24</t>
  </si>
  <si>
    <t>ТП №16-310</t>
  </si>
  <si>
    <t>Ф. 10кВ "Малиновский-2"яч.№20</t>
  </si>
  <si>
    <t>ТП №16-227</t>
  </si>
  <si>
    <t>ТП №16-234</t>
  </si>
  <si>
    <t>ТП №16-235</t>
  </si>
  <si>
    <t>ТП №16-415</t>
  </si>
  <si>
    <t>ТП №16-416</t>
  </si>
  <si>
    <t>ТП №16-418</t>
  </si>
  <si>
    <t>ТП №16-419</t>
  </si>
  <si>
    <t>ТП №16-421</t>
  </si>
  <si>
    <t>ТП №16-422</t>
  </si>
  <si>
    <t>ТП №16-217 (абонентская)</t>
  </si>
  <si>
    <t>ТП №16-220 (абонентская)</t>
  </si>
  <si>
    <t>ТП №16-228 (абонентская)</t>
  </si>
  <si>
    <t>ТП №16-230 (абонентская)</t>
  </si>
  <si>
    <t>ТП №16-233</t>
  </si>
  <si>
    <t>ТП №16-237</t>
  </si>
  <si>
    <t>Ф. 10кВ "Таежный 1-1" яч.№7</t>
  </si>
  <si>
    <t>ТП 16-511</t>
  </si>
  <si>
    <t>ТП 16-512 (абонентская)</t>
  </si>
  <si>
    <t>Ф. 10кВ "Таежный 1-2" яч.№8  (резерв)</t>
  </si>
  <si>
    <t>Ф. 10кВ "Таежный 2-1" яч.№5</t>
  </si>
  <si>
    <t>Ф. 10кВ "Таежный 2-2" яч.№16 (резерв)</t>
  </si>
  <si>
    <t>Ф. 10кВ "Березовский 1" яч.№15</t>
  </si>
  <si>
    <t>Ф. 10кВ "Березовский 2" яч.№4 (резерв)</t>
  </si>
  <si>
    <t>ТП 9-10-7</t>
  </si>
  <si>
    <t>ТП 9-11-9</t>
  </si>
  <si>
    <t>ТП 9-11-13</t>
  </si>
  <si>
    <t>ТП 9-12-3</t>
  </si>
  <si>
    <t>ТП 9-13-1</t>
  </si>
  <si>
    <t>ТП 9-14-8</t>
  </si>
  <si>
    <t>ТП 9-11-6</t>
  </si>
  <si>
    <t>ТП 9-11-7</t>
  </si>
  <si>
    <t>ТП 9-11-10</t>
  </si>
  <si>
    <t>ТП 9-11-11</t>
  </si>
  <si>
    <t>ТП 9-12-8</t>
  </si>
  <si>
    <t>ТП 9-12-9</t>
  </si>
  <si>
    <t>ТП 9-12-10</t>
  </si>
  <si>
    <t>ТП 9-12-12</t>
  </si>
  <si>
    <t>ТП 9-13-11</t>
  </si>
  <si>
    <t>ТП 9-13-13</t>
  </si>
  <si>
    <t>ТП 9-13-15</t>
  </si>
  <si>
    <t>ТП 9-13-16</t>
  </si>
  <si>
    <t>ТП 9-13-17</t>
  </si>
  <si>
    <t>ТП 9-14-17</t>
  </si>
  <si>
    <t>ТП 9-17-2</t>
  </si>
  <si>
    <t>ТП 9-17-6</t>
  </si>
  <si>
    <t>ТП 9-12-7</t>
  </si>
  <si>
    <t>ТП 9-13-2</t>
  </si>
  <si>
    <t>ТП 9-13-3</t>
  </si>
  <si>
    <t>ТП 9-13-10</t>
  </si>
  <si>
    <t>ТП 9-13-14</t>
  </si>
  <si>
    <t>ТП 9-13-18</t>
  </si>
  <si>
    <t>ТП 9-8-4</t>
  </si>
  <si>
    <t>ТП 9-8-17</t>
  </si>
  <si>
    <t>ТП 9-9-2</t>
  </si>
  <si>
    <t>ТП 9-10-6</t>
  </si>
  <si>
    <t>ТП 9-12-1</t>
  </si>
  <si>
    <t>ТП 9-12-11</t>
  </si>
  <si>
    <t>ТП 9-14-16</t>
  </si>
  <si>
    <t>ТП 9-14-19</t>
  </si>
  <si>
    <t>ТП 9-17-4</t>
  </si>
  <si>
    <t>ТП 9-17-5</t>
  </si>
  <si>
    <t>ТП 9-17-12</t>
  </si>
  <si>
    <t>ТП 9-17-28</t>
  </si>
  <si>
    <t>ТП 9-17-40</t>
  </si>
  <si>
    <t>ТП 9-17-42</t>
  </si>
  <si>
    <t>ТП 9-17-49</t>
  </si>
  <si>
    <t>ТП 9-17-8</t>
  </si>
  <si>
    <t>ТП 9-14-14</t>
  </si>
  <si>
    <t>ТП 9-17-16</t>
  </si>
  <si>
    <t>ТП 9-17-17</t>
  </si>
  <si>
    <t>ТП 9-17-18</t>
  </si>
  <si>
    <t>ТП 9-17-31</t>
  </si>
  <si>
    <t>ТП 9-8-3</t>
  </si>
  <si>
    <t>ТП 9-8-10</t>
  </si>
  <si>
    <t>ТП 9-8-15</t>
  </si>
  <si>
    <t>ТП 9-8-1</t>
  </si>
  <si>
    <t>ТП 9-8-2</t>
  </si>
  <si>
    <t>ТП 9-8-13</t>
  </si>
  <si>
    <t>ТП 9-8-14</t>
  </si>
  <si>
    <t>ТП 9-8-16</t>
  </si>
  <si>
    <t>ТП 9-14-1</t>
  </si>
  <si>
    <t>ТП 9-14-2</t>
  </si>
  <si>
    <t>ТП 9-14-6</t>
  </si>
  <si>
    <t>ТП 9-14-18</t>
  </si>
  <si>
    <t>ТП 9-16-4</t>
  </si>
  <si>
    <t>ТП 9-16-5</t>
  </si>
  <si>
    <t>ТП 9-16-6</t>
  </si>
  <si>
    <t>ТП 9-16-7</t>
  </si>
  <si>
    <t>ТП 9-16-8</t>
  </si>
  <si>
    <t>ТП 9-16-9</t>
  </si>
  <si>
    <t>ТП 9-16-10</t>
  </si>
  <si>
    <t>ТП 9-16-11</t>
  </si>
  <si>
    <t>ТП 9-16-12</t>
  </si>
  <si>
    <t>ТП 9-16-13</t>
  </si>
  <si>
    <t>ТП 9-16-14</t>
  </si>
  <si>
    <t xml:space="preserve">ф. 16 ф.РП 3 яч.№16 </t>
  </si>
  <si>
    <t>ТП 9-8-12</t>
  </si>
  <si>
    <t>ТП 9-12-4</t>
  </si>
  <si>
    <t>ТП 9-14-3</t>
  </si>
  <si>
    <t>ТП 9-17-9</t>
  </si>
  <si>
    <t>ТП 9-17-10</t>
  </si>
  <si>
    <t>ТП 9-17-11</t>
  </si>
  <si>
    <t>ТП 9-17-32</t>
  </si>
  <si>
    <t>9-17-29</t>
  </si>
  <si>
    <t>9-17-48</t>
  </si>
  <si>
    <t>9-17-51</t>
  </si>
  <si>
    <t>9-17-54</t>
  </si>
  <si>
    <t>ТП 9-10-8</t>
  </si>
  <si>
    <t>ТП 9-10-9</t>
  </si>
  <si>
    <t>2*800</t>
  </si>
  <si>
    <t>ТП 9-5-1</t>
  </si>
  <si>
    <t>ТП 9-3-4</t>
  </si>
  <si>
    <t>ТП 9-5-8</t>
  </si>
  <si>
    <t>ТП 9-6-1</t>
  </si>
  <si>
    <t>ТП 9-6-2</t>
  </si>
  <si>
    <t>ТП 9-6-5</t>
  </si>
  <si>
    <t>ТП 9-6-6</t>
  </si>
  <si>
    <t>ТП 9-6-11</t>
  </si>
  <si>
    <t>ТП 9-6-12</t>
  </si>
  <si>
    <t>ТП 9-6-13</t>
  </si>
  <si>
    <t>ТП 9-7-1</t>
  </si>
  <si>
    <t>ТП 9-1-8</t>
  </si>
  <si>
    <t>ТП 9-2-2</t>
  </si>
  <si>
    <t>ТП 9-2-4</t>
  </si>
  <si>
    <t>ТП 9-2-7</t>
  </si>
  <si>
    <t>ТП 9-2-8</t>
  </si>
  <si>
    <t>ТП 9-2-11</t>
  </si>
  <si>
    <t>ТП 9-2-12</t>
  </si>
  <si>
    <t>ТП 9-2-13</t>
  </si>
  <si>
    <t>ТП 9-2-14</t>
  </si>
  <si>
    <t>ТП 9-2-15</t>
  </si>
  <si>
    <t>ТП 9-8-8</t>
  </si>
  <si>
    <t>ТП 9-11-14</t>
  </si>
  <si>
    <t>ТП 9-1-1</t>
  </si>
  <si>
    <t>ТП 9-2-1</t>
  </si>
  <si>
    <t>ТП 9-3-5</t>
  </si>
  <si>
    <t>ТП 9-3-6</t>
  </si>
  <si>
    <t>ТП 9-3-7</t>
  </si>
  <si>
    <t>ТП 9-6-10</t>
  </si>
  <si>
    <t>ТП 9-5-5</t>
  </si>
  <si>
    <t>ТП 9-18-1</t>
  </si>
  <si>
    <t>ТП 9-18-2</t>
  </si>
  <si>
    <t>ТП 9-18-3</t>
  </si>
  <si>
    <t>ТП 9-18-4</t>
  </si>
  <si>
    <t>ТП 9-18-5</t>
  </si>
  <si>
    <t>ТП 9-5-4</t>
  </si>
  <si>
    <t>ТП 9-2-10</t>
  </si>
  <si>
    <t>ТП 9-15-1</t>
  </si>
  <si>
    <t>ТП 9-15-2</t>
  </si>
  <si>
    <t>ТП 9-15-3</t>
  </si>
  <si>
    <t>ТП 9-15-4</t>
  </si>
  <si>
    <t>ТП 9-15-5</t>
  </si>
  <si>
    <t>ТП 9-15-6</t>
  </si>
  <si>
    <t>ТП 9-15-7</t>
  </si>
  <si>
    <t>ТП 9-15-8</t>
  </si>
  <si>
    <t>ТП 9-15-9</t>
  </si>
  <si>
    <t>ТП 9-15-10</t>
  </si>
  <si>
    <t>ТП 9-15-11</t>
  </si>
  <si>
    <t>ТП 9-15-12</t>
  </si>
  <si>
    <t>ТП 9-15-18</t>
  </si>
  <si>
    <t>ТП 9-15-19</t>
  </si>
  <si>
    <t>ТП 9-15-20</t>
  </si>
  <si>
    <t>ТП 9-15-21</t>
  </si>
  <si>
    <t>ТП 9-15-22</t>
  </si>
  <si>
    <t>ТП 9-15-23</t>
  </si>
  <si>
    <t>ТП 9-15-24</t>
  </si>
  <si>
    <t>ТП 9-15-25</t>
  </si>
  <si>
    <t>ТП 9-15-26</t>
  </si>
  <si>
    <t>ТП 9-17-33</t>
  </si>
  <si>
    <t>ТП 9-17-34</t>
  </si>
  <si>
    <t>ТП 9-17-37</t>
  </si>
  <si>
    <t>ТП 9-17-38</t>
  </si>
  <si>
    <t>ТП 9-17-39</t>
  </si>
  <si>
    <t>ТП 9-17-45</t>
  </si>
  <si>
    <t>ТП 9-17-46</t>
  </si>
  <si>
    <t>ТП 9-17-47</t>
  </si>
  <si>
    <t>ТП 9-17-50</t>
  </si>
  <si>
    <t>ТП 9-17-52</t>
  </si>
  <si>
    <t>ТП 9-6-3</t>
  </si>
  <si>
    <t>ТП 9-6-4</t>
  </si>
  <si>
    <t>ТП 9-2-6</t>
  </si>
  <si>
    <t>ТП 9-2-9</t>
  </si>
  <si>
    <t>ТП 9-4-3</t>
  </si>
  <si>
    <t>ТП 9-19-1</t>
  </si>
  <si>
    <t>ТП 9-17-13</t>
  </si>
  <si>
    <t>ТП 9-17-14</t>
  </si>
  <si>
    <t>ТП 9-17-30</t>
  </si>
  <si>
    <t>ТП 9-17-44</t>
  </si>
  <si>
    <t>ТП 9-17-53</t>
  </si>
  <si>
    <t>ТП 9-17-15</t>
  </si>
  <si>
    <t>В зоне деятельности Советского филиала АО «ЮРЭСК»</t>
  </si>
  <si>
    <t>В зоне деятельности Кондинского филиала АО «ЮРЭСК»</t>
  </si>
  <si>
    <t>ПС 110/35/10 “Юмас”</t>
  </si>
  <si>
    <t>РУ-10 кВ, яч. № 15, ВЛ-10 кВ ф. "Поселковый-1"</t>
  </si>
  <si>
    <t xml:space="preserve">РП-10 № 12-1 </t>
  </si>
  <si>
    <t>РУ-10 кВ, яч. № 16, ВЛ-10 кВ ф. "Поселковый-2"</t>
  </si>
  <si>
    <t>РП № 12-1, яч.№ 13, ВЛЗ-10 кВ ф.КТД</t>
  </si>
  <si>
    <t>КТП №12-10</t>
  </si>
  <si>
    <t>КТП №12-37</t>
  </si>
  <si>
    <t>КТП №12-21</t>
  </si>
  <si>
    <t>КТП №12-75</t>
  </si>
  <si>
    <t>1Т 630</t>
  </si>
  <si>
    <t>КТП № 12-78</t>
  </si>
  <si>
    <t>1Т 400</t>
  </si>
  <si>
    <t>0</t>
  </si>
  <si>
    <t>КТП №12-84</t>
  </si>
  <si>
    <t>КТП №12-87</t>
  </si>
  <si>
    <t>КТП № 12-90</t>
  </si>
  <si>
    <t>КТП № 12-93</t>
  </si>
  <si>
    <t>РП № 12-1, яч.№ 15, ВЛЗ-10 кВ ф.Мыс</t>
  </si>
  <si>
    <t xml:space="preserve">КТП №12-9 </t>
  </si>
  <si>
    <t>КТП №12-63</t>
  </si>
  <si>
    <t xml:space="preserve">КТП №12-24 </t>
  </si>
  <si>
    <t>КТП №12-31</t>
  </si>
  <si>
    <t>КТП №12-41</t>
  </si>
  <si>
    <t>КТП №12-17</t>
  </si>
  <si>
    <t>КТП №12-39</t>
  </si>
  <si>
    <t xml:space="preserve">КТП №12-46 </t>
  </si>
  <si>
    <t>2Т 630</t>
  </si>
  <si>
    <t xml:space="preserve">КТП №12-50 </t>
  </si>
  <si>
    <t>РП № 12-1, яч.№ 4, ВЛЗ-10 кВ ф.Центральный</t>
  </si>
  <si>
    <t xml:space="preserve">КТП № 12-2 </t>
  </si>
  <si>
    <t>КТП №12-26</t>
  </si>
  <si>
    <t>КТП № 12-4</t>
  </si>
  <si>
    <t>КТП №12-33</t>
  </si>
  <si>
    <t>КТП №12-48</t>
  </si>
  <si>
    <t>КТП №12-20</t>
  </si>
  <si>
    <t xml:space="preserve">КТП № 12-60 </t>
  </si>
  <si>
    <t>2Т 400</t>
  </si>
  <si>
    <t>КТП № 12-75</t>
  </si>
  <si>
    <t xml:space="preserve">КТП №12-43 </t>
  </si>
  <si>
    <t xml:space="preserve">КТП №12-47 </t>
  </si>
  <si>
    <t>2Т 250</t>
  </si>
  <si>
    <t>РП № 12-1, яч.№ 14, ВЛЗ-10 кВ ф.ИРП</t>
  </si>
  <si>
    <t>КТП №12-40</t>
  </si>
  <si>
    <t xml:space="preserve">КТП №12-36 </t>
  </si>
  <si>
    <t>КТП №12-64</t>
  </si>
  <si>
    <t>РП-10 № 12-2, яч.№ 17,  ВЛЗ-10 кВ ф.Маяковского</t>
  </si>
  <si>
    <t xml:space="preserve">КТП № 12-3 </t>
  </si>
  <si>
    <t>КТП № 12-14</t>
  </si>
  <si>
    <t>КТП № 12-15</t>
  </si>
  <si>
    <t>КТП № 12-19</t>
  </si>
  <si>
    <t>КТП № 12-25</t>
  </si>
  <si>
    <t>КТП № 12-85</t>
  </si>
  <si>
    <t>КТП № 12-66</t>
  </si>
  <si>
    <t>РУ-10 кВ, яч. № 13, ВЛЗ-10 кВ ф. Нефтяник-1</t>
  </si>
  <si>
    <t xml:space="preserve">РП-10 № 12-2 </t>
  </si>
  <si>
    <t>РУ-10 кВ, яч. № 14, ВЛЗ-10 кВ ф. Нефтяник-2</t>
  </si>
  <si>
    <t>РП-10 № 12-2, яч.№ 12, ВЛЗ-10 кВ ф.Нефтяник</t>
  </si>
  <si>
    <t>КТП № 12-30</t>
  </si>
  <si>
    <t>КТП № 12-59</t>
  </si>
  <si>
    <t>КТП № 12-61</t>
  </si>
  <si>
    <t>КТП № 12-65</t>
  </si>
  <si>
    <t>РП-10 № 12-2, яч.№ 11, ВЛ-10 кВ ф.ПТУ</t>
  </si>
  <si>
    <t>КТП № 12-12</t>
  </si>
  <si>
    <t>КТП № 12-13</t>
  </si>
  <si>
    <t>КТП № 12-58</t>
  </si>
  <si>
    <t>КТП № 12-62</t>
  </si>
  <si>
    <t>РП-10 № 12-2, РУ-10 кВ 1С яч.№ 15, КЛ-10 кВ  ф.Котельная</t>
  </si>
  <si>
    <t>КТП № 12-82</t>
  </si>
  <si>
    <t>РП-10 № 12-2, яч.№ 18, ВЛЗ-10 кВ ф.Энергетик</t>
  </si>
  <si>
    <t>КТП № 12-44</t>
  </si>
  <si>
    <t>КТП № 12-56</t>
  </si>
  <si>
    <t>КТП № 12-22</t>
  </si>
  <si>
    <t>КТП № 12-80</t>
  </si>
  <si>
    <t>КТП № 12-91</t>
  </si>
  <si>
    <t>КТП № 12-92</t>
  </si>
  <si>
    <t>РУ-10 кВ, яч. № 17, ВЛЗ-10 кВ ф.РП 3-1</t>
  </si>
  <si>
    <t xml:space="preserve">РП-10 № 12-3 </t>
  </si>
  <si>
    <t>КТП № 12-6</t>
  </si>
  <si>
    <t>РУ-10 кВ, яч. № 18, ВЛЗ-10 кВ ф.РП 3-2</t>
  </si>
  <si>
    <t>КТП № 12-86</t>
  </si>
  <si>
    <t>РП-10 № 12-3, яч.№ 9, ВЛЗ-10 кВ ф.Морозова</t>
  </si>
  <si>
    <t>КТП № 12-18</t>
  </si>
  <si>
    <t>КТП №12-28</t>
  </si>
  <si>
    <t>КТП № 12-76</t>
  </si>
  <si>
    <t>РП-10 № 12-3, яч.№ 14, ВЛЗ-10 кВ ф.Первомайский</t>
  </si>
  <si>
    <t>КТП № 12-7</t>
  </si>
  <si>
    <t>КТП № 12-8</t>
  </si>
  <si>
    <t>КТП №12-27</t>
  </si>
  <si>
    <t>КТП №12-49</t>
  </si>
  <si>
    <t>РП-10 № 12-3, яч.№ 11, ВЛЗ-10 кВ ф.Школа</t>
  </si>
  <si>
    <t>РУ-10 кВ, яч.№ 6, ВЛЗ-10 кВ ф.Леуши</t>
  </si>
  <si>
    <t>КТП № 12-67</t>
  </si>
  <si>
    <t>КТП № 12-77</t>
  </si>
  <si>
    <t>КТП № 12-207</t>
  </si>
  <si>
    <t xml:space="preserve">КТП № 12-208 </t>
  </si>
  <si>
    <t>КТП № 12-209</t>
  </si>
  <si>
    <t>КТП № 12-210</t>
  </si>
  <si>
    <t>КТП № 12-211</t>
  </si>
  <si>
    <t>КТП № 12-212</t>
  </si>
  <si>
    <t>КТП № 12-213</t>
  </si>
  <si>
    <t>КТП № 12-231</t>
  </si>
  <si>
    <t>КТП № 12-233</t>
  </si>
  <si>
    <t>РУ-10 кВ, яч.№ 11, ВЛЗ-10 кВ ф.Лиственичный</t>
  </si>
  <si>
    <t>КТП № 12-235</t>
  </si>
  <si>
    <t>КТП № 12-35</t>
  </si>
  <si>
    <t>КТП № 12-236</t>
  </si>
  <si>
    <t>КТП № 12-201</t>
  </si>
  <si>
    <t>КТП № 12-202</t>
  </si>
  <si>
    <t>КТП № 12-203</t>
  </si>
  <si>
    <t>КТП № 12-204</t>
  </si>
  <si>
    <t>КТП № 12-205</t>
  </si>
  <si>
    <t>КТП № 12-206</t>
  </si>
  <si>
    <t>КТП № 12-214</t>
  </si>
  <si>
    <t>КТП № 12-230</t>
  </si>
  <si>
    <t>КТП № 12-228</t>
  </si>
  <si>
    <t>КТП № 12-83</t>
  </si>
  <si>
    <t>КТП № 12-88</t>
  </si>
  <si>
    <t>КТП № 12-232</t>
  </si>
  <si>
    <t xml:space="preserve">РУ-10 кВ  яч.№ 7 ВЛЗ-10 кВ ф. Луговой </t>
  </si>
  <si>
    <t>КТП № 12-5</t>
  </si>
  <si>
    <t>КТП №12-34</t>
  </si>
  <si>
    <t>КТП №12-45</t>
  </si>
  <si>
    <t>КТП № 12-1</t>
  </si>
  <si>
    <t>КТП №12-16</t>
  </si>
  <si>
    <t>КТП №12-23</t>
  </si>
  <si>
    <t>КТП №12-42</t>
  </si>
  <si>
    <t>КТП №12-43</t>
  </si>
  <si>
    <t>КТП № 12-89</t>
  </si>
  <si>
    <t>КТП №12-74</t>
  </si>
  <si>
    <t>РУ-10 кВ, яч. № 4, ВЛ-10 кВ ф. Станция</t>
  </si>
  <si>
    <t>КТП №12-73</t>
  </si>
  <si>
    <t>КТП №12-29</t>
  </si>
  <si>
    <t xml:space="preserve">КТП №12-53 </t>
  </si>
  <si>
    <t>КТП №12-51</t>
  </si>
  <si>
    <t>КТП №12-54</t>
  </si>
  <si>
    <t>КТП №12-32</t>
  </si>
  <si>
    <t>КТП №12-52</t>
  </si>
  <si>
    <t>КТП №12-55</t>
  </si>
  <si>
    <t>КТП № 12-81</t>
  </si>
  <si>
    <t>РУ-10 к,В яч. № 8, ВЛЗ-10 кВ ф. Промплощадка</t>
  </si>
  <si>
    <t>КТП №12-38</t>
  </si>
  <si>
    <t>КТП №12-68</t>
  </si>
  <si>
    <t>КТП №12-69</t>
  </si>
  <si>
    <t>КТП №12-70</t>
  </si>
  <si>
    <t>КТП №12-71</t>
  </si>
  <si>
    <t>1С-35 ОРУ-35 кВ, ВЛ- 35 кВ ф. Юмас-Ямки</t>
  </si>
  <si>
    <t>КТП №12-11</t>
  </si>
  <si>
    <t xml:space="preserve">ф. 35 кВ Юмас-Ямки,  ПС 35/10 "Ямки", ОРУ-35 кВ,                           яч.№ 6, ВЛ-10 кВ ф. Юмас </t>
  </si>
  <si>
    <t>КТП №12-909</t>
  </si>
  <si>
    <t>КТП №12-901</t>
  </si>
  <si>
    <t>КТП №12-902</t>
  </si>
  <si>
    <t>КТП №12-903</t>
  </si>
  <si>
    <t>КТП №12-907</t>
  </si>
  <si>
    <t>ф. 35 кВ Юмас-Ямки,  ПС 35/10 "Ямки", ОРУ-35 кВ,                           яч.№ 17, ВЛ-10 кВ ф. Ямки</t>
  </si>
  <si>
    <t>КТП №12-904</t>
  </si>
  <si>
    <t>КТП №12-905</t>
  </si>
  <si>
    <t>КТП №12-906</t>
  </si>
  <si>
    <t>КТП №12-908</t>
  </si>
  <si>
    <t>КТП № 12-910</t>
  </si>
  <si>
    <t>ф. 35 кВ Юмас-Луговая, ПС 35/10 "Луговая", яч. № 8,                                                               ВЛ-З-10 кВ ф. Корп-2</t>
  </si>
  <si>
    <t>КТП № 12-410</t>
  </si>
  <si>
    <t>2Т 1250</t>
  </si>
  <si>
    <t>ф. 35 кВ Юмас-Луговая, ПС 35/10 "Луговая", яч. № 6,                         ВЛ-10 кВ ф. Нижний склад</t>
  </si>
  <si>
    <t>КТП №12-411</t>
  </si>
  <si>
    <t>КТП №12-417</t>
  </si>
  <si>
    <t>ф. 35 кВ Юмас-Луговая, ПС 35/10 "Луговая", яч. № 4,                         ВЛ-10 кВ Лесоцех</t>
  </si>
  <si>
    <t>КТП №12-405</t>
  </si>
  <si>
    <t>КТП №12-408</t>
  </si>
  <si>
    <t>КТП №12-409</t>
  </si>
  <si>
    <t>КТП № 12-419</t>
  </si>
  <si>
    <t>ф. 35 кВ Юмас-Луговая, ПС 35/10 "Луговая", яч. № 5,                         ВЛ-10 кВ Поселок</t>
  </si>
  <si>
    <t>КТП № 12-401</t>
  </si>
  <si>
    <t>КТП № 12-402</t>
  </si>
  <si>
    <t>КТП №12-403</t>
  </si>
  <si>
    <t>КТП №12-406</t>
  </si>
  <si>
    <t>КТП №12-412</t>
  </si>
  <si>
    <t>КТП №12-419</t>
  </si>
  <si>
    <t>КТП №12-415</t>
  </si>
  <si>
    <t>ф. 35 кВ Юмас-Луговая, ПС 35/10 "Луговая", яч. № 3,                                                               ВЛ-З-10 кВ ф. Корп-1</t>
  </si>
  <si>
    <t>КТП №12-410</t>
  </si>
  <si>
    <t>ф. 35 кВ Юмас-Луговая, ПС 35/10 "Луговая", яч. № 7,                                             ВЛ-10 кВ ф. Собственны нужды</t>
  </si>
  <si>
    <t>КТП №12-418</t>
  </si>
  <si>
    <t>ПС 110/10 кВ "МДФ"</t>
  </si>
  <si>
    <t>РУ-10 кВ, яч. № 15, ВЛЗ-10 кВ ф. Мортка-1</t>
  </si>
  <si>
    <t>КТП №12-305</t>
  </si>
  <si>
    <t>КТП №12-306</t>
  </si>
  <si>
    <t>КТП №12-307</t>
  </si>
  <si>
    <t>КТП №12-308</t>
  </si>
  <si>
    <t>КТП №12-311</t>
  </si>
  <si>
    <t>КТП № 12-312</t>
  </si>
  <si>
    <t>КТП №12-313</t>
  </si>
  <si>
    <t>КТП №12-321</t>
  </si>
  <si>
    <t>КТП №12-322</t>
  </si>
  <si>
    <t>КТП №12-326</t>
  </si>
  <si>
    <t>КТП №12-327</t>
  </si>
  <si>
    <t>РУ-10 кВ, яч. № 16, ВЛЗ-10 кВ ф. Мортка-2</t>
  </si>
  <si>
    <t>КТП №12-302</t>
  </si>
  <si>
    <t>КТП №12-304</t>
  </si>
  <si>
    <t>КТП №12-309</t>
  </si>
  <si>
    <t>КТП №12-312</t>
  </si>
  <si>
    <t>КТП №12-314</t>
  </si>
  <si>
    <t>КТП №12-315</t>
  </si>
  <si>
    <t>КТП №12-316</t>
  </si>
  <si>
    <t>КТП №12-318</t>
  </si>
  <si>
    <t>РУ-10 кВ, яч.№ 4, ВЛЗ-10 кВ  ф. Микрорайон</t>
  </si>
  <si>
    <t>КТП №12-310</t>
  </si>
  <si>
    <t>КТП №12-317</t>
  </si>
  <si>
    <t>КТП №12-323</t>
  </si>
  <si>
    <t>КТП №12-324</t>
  </si>
  <si>
    <t>РУ-10 кВ, яч.№ 4, ВЛЗ-10 кВ  ф. Микрорайон,                                   отпайка (оп.№ 13), ВЛЗ-10 кВ ф.Нижний склад</t>
  </si>
  <si>
    <t>КТП №12-328</t>
  </si>
  <si>
    <t>КЛ-10 кВ от ООО "Завод МДФ"</t>
  </si>
  <si>
    <t>ООО "Завод МДФ"</t>
  </si>
  <si>
    <t>КТП № 12-334</t>
  </si>
  <si>
    <t>Нет УСПД, территория Завода МДФ</t>
  </si>
  <si>
    <t>КТП № 12-335</t>
  </si>
  <si>
    <t>КТП № 12-336</t>
  </si>
  <si>
    <t>КТП № 12-337</t>
  </si>
  <si>
    <t>ПС 110/35/6 "Урай"</t>
  </si>
  <si>
    <t>ОАО "Тюменьэнерго"</t>
  </si>
  <si>
    <t>ф. 35 кВ Урай-Половинка,  ПС 35/10 "Половинка",     яч. № 7, ВЛ-10 кВ  ф.Поселок-1</t>
  </si>
  <si>
    <t>Сети                                АО «ЮРЭСК»</t>
  </si>
  <si>
    <t>КТП №12-837</t>
  </si>
  <si>
    <t>КТП №12-836</t>
  </si>
  <si>
    <t>КТП №12-833</t>
  </si>
  <si>
    <t>КТП №12-834</t>
  </si>
  <si>
    <t>КТП №12-835</t>
  </si>
  <si>
    <t>КТП №12-826</t>
  </si>
  <si>
    <t>КТП №12-827</t>
  </si>
  <si>
    <t>КТП №12-828</t>
  </si>
  <si>
    <t>КТП № 12-829</t>
  </si>
  <si>
    <t>ф. 35 кВ Урай-Половинка,  ПС 35/10 "Половинка",                                                яч. № 8, ВЛ-10 кВ  ф.Поселок-2</t>
  </si>
  <si>
    <t>КТП № 12-828</t>
  </si>
  <si>
    <t>КТП №12-829</t>
  </si>
  <si>
    <t>КТП № 12-837</t>
  </si>
  <si>
    <t>КТП №12-838</t>
  </si>
  <si>
    <t>КТП №12-830</t>
  </si>
  <si>
    <t>КТП №12-831</t>
  </si>
  <si>
    <t>КТП №12-832</t>
  </si>
  <si>
    <t>ОАО "Тюменьэнерго" филиал Нефтеюганские электрические сети</t>
  </si>
  <si>
    <t>ПС 110/35/10 кВ "Выкатная"</t>
  </si>
  <si>
    <t>2*10</t>
  </si>
  <si>
    <t>ПС 35/10 "Кама", ВД-10 кВ ф. "Кама" яч. № 7</t>
  </si>
  <si>
    <t>КТП №12-718</t>
  </si>
  <si>
    <t>КТП №12-719</t>
  </si>
  <si>
    <t>КТП №12-720</t>
  </si>
  <si>
    <t>ПС 35/10 "Кама", ВД-10 кВ ф. "Алтай" яч. № 8</t>
  </si>
  <si>
    <t>КТП №12-721</t>
  </si>
  <si>
    <t>КТП №12-722</t>
  </si>
  <si>
    <t>КТП №12-723</t>
  </si>
  <si>
    <t>КТП №12-724</t>
  </si>
  <si>
    <t>КТП № 12-725</t>
  </si>
  <si>
    <t>Отсутствует ПУ тех.учета</t>
  </si>
  <si>
    <t>КТП №12-726</t>
  </si>
  <si>
    <t>ОАО "Сибнефтепровод" Урайское УМН</t>
  </si>
  <si>
    <t xml:space="preserve">ПС 220/110/10 кВ "Сотник", ЗРУ-10 кВ НПС "Конда-2" </t>
  </si>
  <si>
    <t>ОАО "Сибнефтепровод"</t>
  </si>
  <si>
    <t>4*330</t>
  </si>
  <si>
    <t xml:space="preserve">ВЛ-10 кВ Катыш,  оп.№ 296, ВЛЗ-10 кВ ф.Сотник </t>
  </si>
  <si>
    <t>КТП №12-300</t>
  </si>
  <si>
    <t>КТП № 12-330</t>
  </si>
  <si>
    <t>КТП № 12-340</t>
  </si>
  <si>
    <t>ПС 220/10 кВ "Катыш", ЗРУ-10 кВ НПС "Катыш"</t>
  </si>
  <si>
    <t xml:space="preserve"> РУ-10 кВ яч.№ 10, ВЛЗ-10 кВ ф Старый Катыш</t>
  </si>
  <si>
    <t>КТП №12-500</t>
  </si>
  <si>
    <t>ПС 110/6 кВ "Кума", ЗРУ-6 кВ НПС "Кума"</t>
  </si>
  <si>
    <t>2*64</t>
  </si>
  <si>
    <t>РУ-6 кВ яч. № 12ВЛ-6 кВ  ф. Поселок</t>
  </si>
  <si>
    <t>КТП №12-600</t>
  </si>
  <si>
    <t>КТП №12-601</t>
  </si>
  <si>
    <t>КТП №12-602</t>
  </si>
  <si>
    <t>КТП №12-603</t>
  </si>
  <si>
    <t>КТП №12-604</t>
  </si>
  <si>
    <t>КТП №12-605</t>
  </si>
  <si>
    <t>КТП №12-606</t>
  </si>
  <si>
    <t>КТП №12-607</t>
  </si>
  <si>
    <t>КТП №12-608</t>
  </si>
  <si>
    <t>КТП №12-609</t>
  </si>
  <si>
    <t>КТП №12-610</t>
  </si>
  <si>
    <t>КТП №12-611</t>
  </si>
  <si>
    <t>КТП №12-612</t>
  </si>
  <si>
    <t>КТП №12-619</t>
  </si>
  <si>
    <t>КТП №12-620</t>
  </si>
  <si>
    <t>ПС 220/10 кВ "Ильичевка",                                                                       ЗРУ-10 кВ НПС "Ильичевка"</t>
  </si>
  <si>
    <t>2*62</t>
  </si>
  <si>
    <t>ф. "Фарада-1", ПС 35/10 " Тесла", яч.№ 4,                                        ВЛЗ-10 кВ ф. Линия-1</t>
  </si>
  <si>
    <t>КТП №12-505</t>
  </si>
  <si>
    <t>КТП №12-508</t>
  </si>
  <si>
    <t>КТП №12-514</t>
  </si>
  <si>
    <t>КТП №12-515</t>
  </si>
  <si>
    <t>КТП №12-517</t>
  </si>
  <si>
    <t>КТП №12-518</t>
  </si>
  <si>
    <t>КТП №12-524</t>
  </si>
  <si>
    <t>КТП №12-525</t>
  </si>
  <si>
    <t>КТП №12-527</t>
  </si>
  <si>
    <t>КТП №12-530</t>
  </si>
  <si>
    <t>КТП №12-532</t>
  </si>
  <si>
    <t>ф. "Фарада-1", ПС 35/10 " Тесла", яч.№ 12,                                      ВЛЗ-10 кВ ф. Лесников</t>
  </si>
  <si>
    <t>КТП №12-507</t>
  </si>
  <si>
    <t>КТП №12-509</t>
  </si>
  <si>
    <t>КТП №12-526</t>
  </si>
  <si>
    <t>ф. "Фарада-2", ПС 35/10 " Тесла", яч.№ 7,                                        ВЛЗ-10 кВ ф. Линия-2</t>
  </si>
  <si>
    <t>КТП №12-501</t>
  </si>
  <si>
    <t>КТП №12-502</t>
  </si>
  <si>
    <t>КТП №12-503</t>
  </si>
  <si>
    <t>КТП №12-504</t>
  </si>
  <si>
    <t>КТП №12-506</t>
  </si>
  <si>
    <t>КТП №12-510</t>
  </si>
  <si>
    <t>КТП № 12-511</t>
  </si>
  <si>
    <t>КТП №12-512</t>
  </si>
  <si>
    <t>КТП №12-513</t>
  </si>
  <si>
    <t>КТП №12-519</t>
  </si>
  <si>
    <t>КТП №12-520</t>
  </si>
  <si>
    <t>КТП №12-521</t>
  </si>
  <si>
    <t>КТП №12-522</t>
  </si>
  <si>
    <t>КТП №12-523</t>
  </si>
  <si>
    <t>КТП №12-529</t>
  </si>
  <si>
    <t>КТП №12-531</t>
  </si>
  <si>
    <t>КТПС № 12-528</t>
  </si>
  <si>
    <t>ВЛ-35 кВ Фарада-Тесла-1, КППОМ-35/1 № 12-501,                         ВЛЗ-1 кВ ф. Ильичевка</t>
  </si>
  <si>
    <t>КТПС № 12-551</t>
  </si>
  <si>
    <t>КТПС № 12-552</t>
  </si>
  <si>
    <t>КТПС № 12-553</t>
  </si>
  <si>
    <t>ПС 110/10 кВ "Леуши",                                       ЗРУ-10 кВ НПС "Ягодное"</t>
  </si>
  <si>
    <t>РУ-10 кВ яч. № 6, ВЛЗ-10 кВ ф. Дальний</t>
  </si>
  <si>
    <t xml:space="preserve">Сети                                АО «ЮРЭСК» </t>
  </si>
  <si>
    <t>КТП №12-215</t>
  </si>
  <si>
    <t>КТП №12-216</t>
  </si>
  <si>
    <t>КТП №12-226</t>
  </si>
  <si>
    <t>РУ-10 кВ, яч. № 5, ВЛЗ-10 кВ ф. Ягодный</t>
  </si>
  <si>
    <t>КТП №12-217</t>
  </si>
  <si>
    <t>КТП №12-219</t>
  </si>
  <si>
    <t>КТП № 12-220</t>
  </si>
  <si>
    <t>КТП №12-221</t>
  </si>
  <si>
    <t>КТП №12-222</t>
  </si>
  <si>
    <t>КТП №12-223</t>
  </si>
  <si>
    <t>КТП №12-225</t>
  </si>
  <si>
    <t>КТП №12-227</t>
  </si>
  <si>
    <t>КТП № 12-229</t>
  </si>
  <si>
    <t>ОАО "Сибнефтепровод" Тобольское УМН</t>
  </si>
  <si>
    <t>ПС 220/10 кВ "Чеснок",                                     ЗРУ-10 кВ НПС "Кедровое"</t>
  </si>
  <si>
    <t>РУ-10 кВ яч. № 13,  ВЛЗ-10 кВ ф.Болчары</t>
  </si>
  <si>
    <t>КТП №12-700</t>
  </si>
  <si>
    <t>БКТП №12-701</t>
  </si>
  <si>
    <t>ВЛЗ-10 кВ ф.Болчары, БКТП № 12-701 яч.№ 5, ВЛЗ-10 кВ ф.Школа</t>
  </si>
  <si>
    <t>КТП №12-707Н</t>
  </si>
  <si>
    <t>КТП №12-710</t>
  </si>
  <si>
    <t>КТП №12-714</t>
  </si>
  <si>
    <t>ВЛ-10 кВ ф.Кедровое, БКТП № 12-701 яч.№ 6, ВЛЗ-10 кВ ф.Аэропорт</t>
  </si>
  <si>
    <t>КТП №12-702</t>
  </si>
  <si>
    <t>КТП №12-703</t>
  </si>
  <si>
    <t>КТП № 12-704</t>
  </si>
  <si>
    <t>КТП №12-705</t>
  </si>
  <si>
    <t>КТП №12-706</t>
  </si>
  <si>
    <t>КТП №12-708</t>
  </si>
  <si>
    <t>КТП №12-709</t>
  </si>
  <si>
    <t>КТП №12-711</t>
  </si>
  <si>
    <t>КТП №12-713</t>
  </si>
  <si>
    <t>КТП №12-716</t>
  </si>
  <si>
    <t>КТП № 12-717</t>
  </si>
  <si>
    <t>РУ-10 кВ яч. № 14, ВЛЗ-10 кВ ф. Кедровое</t>
  </si>
  <si>
    <t>КТП № 12-715</t>
  </si>
  <si>
    <t>СЦ "Урайэнергонефть""</t>
  </si>
  <si>
    <t xml:space="preserve">ПС 35/6 кВ "Мулымская"        </t>
  </si>
  <si>
    <t>ОАО "Лукойл-Энергосети"</t>
  </si>
  <si>
    <t>РУ - 6 кВ, яч. № 9, ВЛ-6 кВ ф. Пионерлагерь</t>
  </si>
  <si>
    <t>КТП № 12-818</t>
  </si>
  <si>
    <t>КТП № 12-819</t>
  </si>
  <si>
    <t>КТП № 12-820</t>
  </si>
  <si>
    <t>КТП № 12-840</t>
  </si>
  <si>
    <t>КТП № 12-822</t>
  </si>
  <si>
    <t>КТП № 12-823</t>
  </si>
  <si>
    <t>КТП № 12-824</t>
  </si>
  <si>
    <t>КТП № 12-839</t>
  </si>
  <si>
    <t>КТП № 12-841</t>
  </si>
  <si>
    <t>КТП № 12-845</t>
  </si>
  <si>
    <t>КТП № 12-825</t>
  </si>
  <si>
    <t>РУ - 6 кВ, яч. № 4, ВЛ-6 кВ ф. Ушьинский</t>
  </si>
  <si>
    <t>КТП №12-809</t>
  </si>
  <si>
    <t>КТП №12-810</t>
  </si>
  <si>
    <t>КТП №12-811</t>
  </si>
  <si>
    <t>КТП №12-812</t>
  </si>
  <si>
    <t>КТП №12-813</t>
  </si>
  <si>
    <t>КТП №12-814</t>
  </si>
  <si>
    <t>КТП №12-815</t>
  </si>
  <si>
    <t>КТП №12-816</t>
  </si>
  <si>
    <t>КТП №12-817</t>
  </si>
  <si>
    <t>КТП № 12-842</t>
  </si>
  <si>
    <t>ПАО "Россети"</t>
  </si>
  <si>
    <t xml:space="preserve">ПС 110/35/10 "Сухой Бор" </t>
  </si>
  <si>
    <t>РУ-6 кВ, яч.№ 16, ВЛ-6 кВ ф. "Восток-2"</t>
  </si>
  <si>
    <t>КТП № 12-801</t>
  </si>
  <si>
    <t>РУ-6 кВ, яч.№ 12, ВЛ-6 кВ Восток-1</t>
  </si>
  <si>
    <t>КТП №12-802</t>
  </si>
  <si>
    <t>КТП №12-803</t>
  </si>
  <si>
    <t>КТП №12-804</t>
  </si>
  <si>
    <t>КТП №12-805</t>
  </si>
  <si>
    <t>КТП №12-806</t>
  </si>
  <si>
    <t>КТП №12-807</t>
  </si>
  <si>
    <t>КТП №12-808</t>
  </si>
  <si>
    <t>215,8</t>
  </si>
  <si>
    <t xml:space="preserve">ПС 110/35/6 кВ "Филипповская",                      </t>
  </si>
  <si>
    <t xml:space="preserve"> оп.№ 22  ВЛ - 6 кВ ф. Торпедо-1,  ВЛ-6 кВ ф. Филипповский</t>
  </si>
  <si>
    <t>КТП №12-800</t>
  </si>
  <si>
    <t>В зоне деятельности СПП АО «ЮРЭСК»</t>
  </si>
  <si>
    <t>ПС 110/10/6 “Пионерная-2”</t>
  </si>
  <si>
    <t>2*40</t>
  </si>
  <si>
    <t>ПС 110 Пионерная-2 ЗРУ-10, яч.№45 "БКТП ГСК"</t>
  </si>
  <si>
    <t xml:space="preserve">АО "ЮРЭСК" 
</t>
  </si>
  <si>
    <t>БКТП-10/0,4 ГСК</t>
  </si>
  <si>
    <t>ПС 110 Пионерная-2 ЗРУ-10, яч.№43 "ТП Набережная 1-1"</t>
  </si>
  <si>
    <t>БКТП-10/0,4 Набережная-1</t>
  </si>
  <si>
    <t>ПС 110 Пионерная-2 ЗРУ-10, яч.№44 "ТП Набережная 1-2"</t>
  </si>
  <si>
    <t>ПС 110 Пионерная-2 ЗРУ-10, яч.№51 "РП Восход-1"</t>
  </si>
  <si>
    <t>РП-10 Восход</t>
  </si>
  <si>
    <t>ПС 110 Пионерная-2 ЗРУ-10, яч.№60 "РП Восход-2"</t>
  </si>
  <si>
    <t xml:space="preserve">БКТП-10/0,4 Набережная-1 ЗРУ-10 яч.1 "ТП Набережная-2 яч.2" 
</t>
  </si>
  <si>
    <t>БКТП-10/0,4 Набережная-2</t>
  </si>
  <si>
    <t>БКТП-10/0,4 Набережная-1 ЗРУ-10 яч.5 "ТП Набережная-2 яч.6"</t>
  </si>
  <si>
    <t>ОАО "Тюменьэнерго" филиал НП "Энергокомплекс"</t>
  </si>
  <si>
    <t>ПС 110/35/10 кВ "Выкатная" КРУН 10кВ, ф6 "Сибирский"</t>
  </si>
  <si>
    <t>2х10</t>
  </si>
  <si>
    <t>ВЛ 10кВ, ф6 оп. 1/15</t>
  </si>
  <si>
    <t>ТП 10(6)/0,4 №18-1001</t>
  </si>
  <si>
    <t>ВЛ 10кВ, ф6 оп. 1/21</t>
  </si>
  <si>
    <t>ТП 10(6)/0,4 №18-1002</t>
  </si>
  <si>
    <t>ВЛ 10кВ, ф6 оп. 1/16</t>
  </si>
  <si>
    <t>ТП 10(6)/0,4 №18-1003</t>
  </si>
  <si>
    <t>ВЛ 10кВ, ф6 оп. 1/19</t>
  </si>
  <si>
    <t>ТП 10(6)/0,4 №18-1004</t>
  </si>
  <si>
    <t>ВЛ 10кВ, ф6 оп. 9</t>
  </si>
  <si>
    <t>ТП 10(6)/0,4 №18-1005</t>
  </si>
  <si>
    <t>ВЛ 10кВ, ф6 оп. 3/4</t>
  </si>
  <si>
    <t>ТП 10(6)/0,4 №18-1006</t>
  </si>
  <si>
    <t>ВЛ 10кВ, ф6 оп. 4/3</t>
  </si>
  <si>
    <t>ТП 10(6)/0,4 №18-1007</t>
  </si>
  <si>
    <t xml:space="preserve">ПС 110/35/10 кВ"Выкатная" КРУН 10кВ, ф4 "Газовый участок, Реполово" </t>
  </si>
  <si>
    <t>ВЛ 10кВ, ф4 оп. 1</t>
  </si>
  <si>
    <t>ТП 10(6)/0,4 №18-1008</t>
  </si>
  <si>
    <t>ВЛ 10кВ, ф4 оп. 167, 168</t>
  </si>
  <si>
    <t>ТП 10(6)/0,4 №18-1009</t>
  </si>
  <si>
    <t xml:space="preserve">ВЛ 10кВ, ф4 </t>
  </si>
  <si>
    <t>ТП 10(6)/0,4 №18-1010</t>
  </si>
  <si>
    <t>Итого по ПС 110/35/10 "Выкатная"</t>
  </si>
  <si>
    <t>ПС 110/10 "Батово" КРУН 10кВ, ф.9</t>
  </si>
  <si>
    <t>2х2,5</t>
  </si>
  <si>
    <t xml:space="preserve">ТП 10(6)/0,4 №18-1011 </t>
  </si>
  <si>
    <t xml:space="preserve">ТП 10(6)/0,4 №18-1012 </t>
  </si>
  <si>
    <t xml:space="preserve">ТП 10(6)/0,4 №18-1013 </t>
  </si>
  <si>
    <t xml:space="preserve">ТП 10(6)/0,4 №18-1014 </t>
  </si>
  <si>
    <t xml:space="preserve">ТП 10(6)/0,4 №18-1015 </t>
  </si>
  <si>
    <t xml:space="preserve">ТП 10(6)/0,4 №18-1016 </t>
  </si>
  <si>
    <t xml:space="preserve">ТП 10(6)/0,4 №18-1017 </t>
  </si>
  <si>
    <t>Итого по ПС 110/35/10 "Батово"</t>
  </si>
  <si>
    <t>ОАО "ТНК-Нягань"</t>
  </si>
  <si>
    <t>ПС 35/6 кВ "Сеуль" п. Ягурь-Ях</t>
  </si>
  <si>
    <t>2х6,3</t>
  </si>
  <si>
    <t>яч. 4, ВЛ-6 кВ, отпайка на Ягурь-Ях, опора №1.</t>
  </si>
  <si>
    <t xml:space="preserve">ТП 10(6)/0,4 №18-4012 </t>
  </si>
  <si>
    <t>ТП 10(6)/0,4 №18-4013</t>
  </si>
  <si>
    <t>Итого по ПС 35/6 кВ "Сеуль"</t>
  </si>
  <si>
    <t>ПАО "Сургутнефтегаз"</t>
  </si>
  <si>
    <t>ПС _35/6кВ №258 "Саньеганьская" , ф.13</t>
  </si>
  <si>
    <t>ПС 35/6кВ №258 "Сыньеганьская" , ф.13</t>
  </si>
  <si>
    <t>ТП 10(6)/0,4 №18-4040</t>
  </si>
  <si>
    <t>ТП 10(6)/0,4 №18-4041</t>
  </si>
  <si>
    <t>ТП 10(6)/0,4 №18-4014</t>
  </si>
  <si>
    <t>ТП 10(6)/0,4 №18-4015</t>
  </si>
  <si>
    <t>ТП 10(6)/0,4 №18-4016</t>
  </si>
  <si>
    <t>ТП 10(6)/0,4 №18-4017</t>
  </si>
  <si>
    <t>ТП 10(6)/0,4 №18-4019</t>
  </si>
  <si>
    <t>ТП 10(6)/0,4 №18-4020</t>
  </si>
  <si>
    <t>ТП 10(6)/0,4 №18-4021</t>
  </si>
  <si>
    <t>ТП 10(6)/0,4 №18-4022</t>
  </si>
  <si>
    <t>ТП 10(6)/0,4 №18-4023</t>
  </si>
  <si>
    <t>ТП 10(6)/0,4 №18-4024</t>
  </si>
  <si>
    <t>ТП 10(6)/0,4 №18-4025</t>
  </si>
  <si>
    <t>ТП 10(6)/0,4 №18-4018</t>
  </si>
  <si>
    <t>ТП 10(6)/0,4 №18-4026</t>
  </si>
  <si>
    <t>ТП 10(6)/0,4 №18-4027</t>
  </si>
  <si>
    <t>ТП 10(6)/0,4 №18-4028</t>
  </si>
  <si>
    <t>ТП 10(6)/0,4 №18-4029</t>
  </si>
  <si>
    <t>ТП 10(6)/0,4 №18-4030</t>
  </si>
  <si>
    <t>ТП 10(6)/0,4 №18-4031</t>
  </si>
  <si>
    <t>ТП 10(6)/0,4 №18-4039</t>
  </si>
  <si>
    <t xml:space="preserve"> ПС 35/10 "Цингалы" </t>
  </si>
  <si>
    <t xml:space="preserve"> ПС 35/10 "Цингалы" ф. 12</t>
  </si>
  <si>
    <t>ПС 35/10 "Цингалы" ф. 12</t>
  </si>
  <si>
    <t>ТП 10(6)/0,4 №18-2024</t>
  </si>
  <si>
    <t>ТП 10(6)/0,4 №18-2025</t>
  </si>
  <si>
    <t>ТП 10(6)/0,4 №18-2028</t>
  </si>
  <si>
    <t>ТП 10(6)/0,4 №18-2029</t>
  </si>
  <si>
    <t>ТП 10(6)/0,4 №18-2044</t>
  </si>
  <si>
    <t>ТП 10(6)/0,4 №18-2031 Т2  (резерв для  Т1)</t>
  </si>
  <si>
    <t>СПС 35/10 "Цингалы" ф. 12</t>
  </si>
  <si>
    <t>ТП 10(6)/0,4 №18-2027 Т2 (резерв для Т1)</t>
  </si>
  <si>
    <t xml:space="preserve"> ПС 35/10 "Цингалы" ф.7 </t>
  </si>
  <si>
    <t>ТП 10(6)/0,4 №18-2027 Т1 (резерв для Т2)</t>
  </si>
  <si>
    <t>ТП 10(6)/0,4 №18-2031 Т1  (резерв для  Т2)</t>
  </si>
  <si>
    <t>ТП 10(6)/0,4 №18-2026</t>
  </si>
  <si>
    <t xml:space="preserve">ПС 35/10 "Цингалы" ф.10 </t>
  </si>
  <si>
    <t xml:space="preserve"> ПС 35/10 "Цингалы" ф. 10</t>
  </si>
  <si>
    <t>ТП 10(6)/0,4 №18-2033</t>
  </si>
  <si>
    <t>ПС 35/10 "Цингалы" ф.7</t>
  </si>
  <si>
    <t xml:space="preserve"> ПС 35/10 "Цингалы" ф. 7</t>
  </si>
  <si>
    <t>ТП 10(6)/0,4 №18-2030</t>
  </si>
  <si>
    <t xml:space="preserve">Итого по ПС 35/10 "Цингалы" </t>
  </si>
  <si>
    <t xml:space="preserve">ПС 110/10 "Луговская" </t>
  </si>
  <si>
    <t>ВЛ-10кВ оп.№23</t>
  </si>
  <si>
    <t>ТП 10(6)/0,4 №18-5020</t>
  </si>
  <si>
    <t xml:space="preserve">Итого по ПС 110/10 "Луговская" " </t>
  </si>
  <si>
    <t>В зоне деятельности АО «ЮТЭК - Ханты-Мансийский район»</t>
  </si>
  <si>
    <t>В зоне деятельности ОАО «ЮТЭК-Когалым»</t>
  </si>
  <si>
    <t>ОАО "Тюменьэнерго" филиал КЭС</t>
  </si>
  <si>
    <t>ПС 110/35/10 кВ "Инга"</t>
  </si>
  <si>
    <t>35 кВ Аэропорт 1 (резерв для 35 кВ Аэропорт 1 ПС 110/35/10 "Южная")</t>
  </si>
  <si>
    <t>35 кВ Аэропорт 2 (резерв для 35 кВ Аэропорт 2 ПС 110/35/10 "Южная")</t>
  </si>
  <si>
    <t>10 кВ ф. 1А</t>
  </si>
  <si>
    <t>ЦРП-7 (резерв ф. 16, ПС 110/35/10 "Инга")</t>
  </si>
  <si>
    <t>ТП-58 (резерв ф. 16, ПС 110/35/10 "Инга")</t>
  </si>
  <si>
    <t>ТП-90 (резерв ф. 16, ПС 110/35/10 "Инга")</t>
  </si>
  <si>
    <t>10 кВ ф. 4</t>
  </si>
  <si>
    <t>ЦРП-1 (резерв ф. 10, ПС 110/35/10 "Инга")</t>
  </si>
  <si>
    <t>ТП-3 (резерв ф. 10, ПС 110/35/10 "Инга")</t>
  </si>
  <si>
    <t>ТП-33 (резерв ф. 10, ПС 110/35/10 "Инга")</t>
  </si>
  <si>
    <t>ТП-30 (резерв ф. 10, ПС 110/35/10 "Инга")</t>
  </si>
  <si>
    <t>ТП-1 (резерв ф. 10, ПС 110/35/10 "Инга")</t>
  </si>
  <si>
    <t>ТП-37 (резерв ф. 10, ПС 110/35/10 "Инга")</t>
  </si>
  <si>
    <t>ТП-38 (резерв ф. 10, ПС 110/35/10 "Инга")</t>
  </si>
  <si>
    <t>ТП-40 (резерв ф. 10, ПС 110/35/10 "Инга")</t>
  </si>
  <si>
    <t>ТП-7 (резерв ф. 10, ПС 110/35/10 "Инга")</t>
  </si>
  <si>
    <t>ТП-8 (резерв ф. 10, ПС 110/35/10 "Инга")</t>
  </si>
  <si>
    <t>ТП-12 (резерв ф. 10, ПС 110/35/10 "Инга")</t>
  </si>
  <si>
    <t>10 кВ ф. 5</t>
  </si>
  <si>
    <t>ЦРП-10 (резерв ф. 12, ПС 110/35/10 "Инга")</t>
  </si>
  <si>
    <t>ТП-49 (резерв ф. 12, ПС 110/35/10 "Инга")</t>
  </si>
  <si>
    <t>ТП-46 (резерв ф. 12, ПС 110/35/10 "Инга")</t>
  </si>
  <si>
    <t>ТП-50 (резерв ф. 12, ПС 110/35/10 "Инга")</t>
  </si>
  <si>
    <t>ТП-47 (резерв ф. 12, ПС 110/35/10 "Инга")</t>
  </si>
  <si>
    <t>ТП-48 (резерв ф. 12, ПС 110/35/10 "Инга")</t>
  </si>
  <si>
    <t>ТП-45 (резерв ф. 12, ПС 110/35/10 "Инга")</t>
  </si>
  <si>
    <t>ТП-27 (резерв ф. 12, ПС 110/35/10 "Инга")</t>
  </si>
  <si>
    <t>ТП-41 (резерв ф. 12, ПС 110/35/10 "Инга")</t>
  </si>
  <si>
    <t>10 кВ ф. 10</t>
  </si>
  <si>
    <t>ЦРП-1 (резерв ф. 04, ПС 110/35/10 "Инга")</t>
  </si>
  <si>
    <t>ТП-3 (резерв ф. 04, ПС 110/35/10 "Инга")</t>
  </si>
  <si>
    <t>ТП-33 (резерв ф. 04, ПС 110/35/10 "Инга")</t>
  </si>
  <si>
    <t>ТП-30 (резерв ф. 04, ПС 110/35/10 "Инга")</t>
  </si>
  <si>
    <t>ТП-4 (резерв ф. 10, ПС 110/35/10 "Южная")</t>
  </si>
  <si>
    <t>ТП-5 (резерв ф. 10, ПС 110/35/10 "Южная")</t>
  </si>
  <si>
    <t>ТП-6 (резерв ф. 10, ПС 110/35/10 "Южная")</t>
  </si>
  <si>
    <t>ТП-2 (резерв ф. 10, ПС 110/35/10 "Южная")</t>
  </si>
  <si>
    <t>ТП-10 (резерв ф. 10, ПС 110/35/10 "Южная")</t>
  </si>
  <si>
    <t>ТП-56 (резерв ф. 10, ПС 110/35/10 "Южная")</t>
  </si>
  <si>
    <t>ТП-1 (резерв ф. 04, ПС 110/35/10 "Инга")</t>
  </si>
  <si>
    <t>ТП-37 (резерв ф. 04, ПС 110/35/10 "Инга")</t>
  </si>
  <si>
    <t>ТП-38 (резерв ф. 04, ПС 110/35/10 "Инга")</t>
  </si>
  <si>
    <t>ТП-40 (резерв ф. 04, ПС 110/35/10 "Инга")</t>
  </si>
  <si>
    <t>ТП-57</t>
  </si>
  <si>
    <t>ТП-7 (резерв ф. 04, ПС 110/35/10 "Инга")</t>
  </si>
  <si>
    <t>ТП-8 (резерв ф. 04, ПС 110/35/10 "Инга")</t>
  </si>
  <si>
    <t>ТП-12 (резерв ф. 04, ПС 110/35/10 "Инга")</t>
  </si>
  <si>
    <t>10 кВ ф. 12</t>
  </si>
  <si>
    <t>ЦРП-10 (резерв ф. 05, ПС 110/35/10 "Инга")</t>
  </si>
  <si>
    <t>ТП-49 (резерв ф. 05, ПС 110/35/10 "Инга")</t>
  </si>
  <si>
    <t>ТП-46 (резерв ф. 05, ПС 110/35/10 "Инга")</t>
  </si>
  <si>
    <t>ТП-50 (резерв ф. 05, ПС 110/35/10 "Инга")</t>
  </si>
  <si>
    <t>ТП-47 (резерв ф. 05, ПС 110/35/10 "Инга")</t>
  </si>
  <si>
    <t>ТП-48 (резерв ф. 05, ПС 110/35/10 "Инга")</t>
  </si>
  <si>
    <t>ТП-45 (резерв ф. 05, ПС 110/35/10 "Инга")</t>
  </si>
  <si>
    <t>ТП-27 (резерв ф. 05, ПС 110/35/10 "Инга")</t>
  </si>
  <si>
    <t>ТП-41 (резерв ф. 05, ПС 110/35/10 "Инга")</t>
  </si>
  <si>
    <t>10 кВ ф. 16</t>
  </si>
  <si>
    <t>ЦРП-7 (резерв ф. 01а, ПС 110/35/10 "Инга")</t>
  </si>
  <si>
    <t>ТП-58 (резерв ф. 01а, ПС 110/35/10 "Инга")</t>
  </si>
  <si>
    <t>ТП-90 (резерв ф. 01а, ПС 110/35/10 "Инга")</t>
  </si>
  <si>
    <t>Итого по ПС 110/35/10 "Инга"</t>
  </si>
  <si>
    <t>ПС 110/35/10 "Южная"</t>
  </si>
  <si>
    <t>35 кВ Аэропорт 1</t>
  </si>
  <si>
    <t>ПС 35/6 № 36</t>
  </si>
  <si>
    <t>ПС 35/6 № 35</t>
  </si>
  <si>
    <t>35 кВ Аэропорт 1 (ПС 35/6 № 35)</t>
  </si>
  <si>
    <t>ЦРП-6</t>
  </si>
  <si>
    <t>ТП-154</t>
  </si>
  <si>
    <t>ТП-155</t>
  </si>
  <si>
    <t>ТП-152</t>
  </si>
  <si>
    <t>ТП-156</t>
  </si>
  <si>
    <t>ТП-157</t>
  </si>
  <si>
    <t>ТП-158</t>
  </si>
  <si>
    <t>ТП-159</t>
  </si>
  <si>
    <t>ТП-129</t>
  </si>
  <si>
    <t>ТП-125</t>
  </si>
  <si>
    <t>ТП-128</t>
  </si>
  <si>
    <t>ТП-135</t>
  </si>
  <si>
    <t>ВЛБ-6 кВ Арочная</t>
  </si>
  <si>
    <t>ТП-133 (резерв  ПС/110/35/10 "Южная", ф. Аэропорт-1, ВЛБ-Арочная, яч. 13)</t>
  </si>
  <si>
    <t>ТП-123 (резерв  ПС/110/35/10 "Южная", ф. Аэропорт-1, ВЛБ-Арочная, яч. 13)</t>
  </si>
  <si>
    <t>ТП-102 (резерв  ПС/110/35/10 "Южная", ф. Аэропорт-1, ВЛБ-Арочная, яч. 13)</t>
  </si>
  <si>
    <t>ТП-121 (резерв  ПС/110/35/10 "Южная", ф. Аэропорт-1, ВЛБ-Арочная, яч. 13)</t>
  </si>
  <si>
    <t>ЦРП-13</t>
  </si>
  <si>
    <t>ТП-160</t>
  </si>
  <si>
    <t>ТП-161</t>
  </si>
  <si>
    <t>ТП-162</t>
  </si>
  <si>
    <t>ТП-163</t>
  </si>
  <si>
    <t>ТП-164</t>
  </si>
  <si>
    <t>ТП-104</t>
  </si>
  <si>
    <t>ТП-130</t>
  </si>
  <si>
    <t>ТП-106</t>
  </si>
  <si>
    <t>ТП-127</t>
  </si>
  <si>
    <t>ТП-138 (резерв ПС/110/35/10 "Южная", ПС 35/6 № 35,яч. 6)</t>
  </si>
  <si>
    <t>ТП-124  (резерв ПС/110/35/10 "Южная")</t>
  </si>
  <si>
    <t>ТП-112</t>
  </si>
  <si>
    <t>ТП-111</t>
  </si>
  <si>
    <t>ТП-118</t>
  </si>
  <si>
    <t>ТП-137</t>
  </si>
  <si>
    <t>ТП-139</t>
  </si>
  <si>
    <t>ТП-114</t>
  </si>
  <si>
    <t>ПС 35/10 № 30</t>
  </si>
  <si>
    <t>35 кВ Аэропорт 1 (ПС 35/10 № 30)</t>
  </si>
  <si>
    <t>ТП-29</t>
  </si>
  <si>
    <t>ТП-91</t>
  </si>
  <si>
    <t>ТП-94</t>
  </si>
  <si>
    <t>ТП-67</t>
  </si>
  <si>
    <t>ТП-95</t>
  </si>
  <si>
    <t>ПС 10/6 "Рижская" КРУН-10 кВ</t>
  </si>
  <si>
    <t>ТП-28</t>
  </si>
  <si>
    <t>ТП-93</t>
  </si>
  <si>
    <t>ТП-150</t>
  </si>
  <si>
    <t>ТП-153</t>
  </si>
  <si>
    <t>35 кВ Аэропорт 2</t>
  </si>
  <si>
    <t>35 кВ Аэропорт 2 (ПС № 30 35/10)</t>
  </si>
  <si>
    <t>ТП-134</t>
  </si>
  <si>
    <t>ТП-140</t>
  </si>
  <si>
    <t>ТП-116</t>
  </si>
  <si>
    <t>ТП-138  (резерв ПС/110/35/10 "Южная", ЦРП-13, ф.13-06)</t>
  </si>
  <si>
    <t>ТП-117</t>
  </si>
  <si>
    <t>ТП-101</t>
  </si>
  <si>
    <t>ТП-120</t>
  </si>
  <si>
    <t>ТП-124  (резерв ПС/110/35/10 "Южная", ЦРП-13, ф.13-22)</t>
  </si>
  <si>
    <t>ТП-133 (резерв  ПС/110/35/10 "Южная", ф. Аэропорт-1, ВЛБ-Арочная, яч. 14)</t>
  </si>
  <si>
    <t>ТП-123 (резерв  ПС/110/35/10 "Южная", ф. Аэропорт-1, ВЛБ-Арочная, яч. 14)</t>
  </si>
  <si>
    <t>ТП-102 (резерв  ПС/110/35/10 "Южная", ф. Аэропорт-1, ВЛБ-Арочная, яч. 14)</t>
  </si>
  <si>
    <t>ТП-121 (резерв  ПС/110/35/10 "Южная", ф. Аэропорт-1, ВЛБ-Арочная, яч. 14)</t>
  </si>
  <si>
    <t>ТП-103</t>
  </si>
  <si>
    <t>ТП-151</t>
  </si>
  <si>
    <t>ТП-110</t>
  </si>
  <si>
    <t>ТП-122</t>
  </si>
  <si>
    <t>ТП-136</t>
  </si>
  <si>
    <t>ТП-131</t>
  </si>
  <si>
    <t>ПС № 30 35/10</t>
  </si>
  <si>
    <t>ТП-85 (резерв ф. 18, ПС 110/35/10 "Южная")</t>
  </si>
  <si>
    <t>ТП-39  (резерв ф. 18, ПС 110/35/10 "Южная")</t>
  </si>
  <si>
    <t>ТП-44 (резерв ф. 18, ПС 110/35/10 "Южная")</t>
  </si>
  <si>
    <t>ТП-43 (резерв ф. 18, ПС 110/35/10 "Южная")</t>
  </si>
  <si>
    <t>ТП-32 (резерв ф. 18, ПС 110/35/10 "Южная")</t>
  </si>
  <si>
    <t>ТП-34 (резерв ф. 18, ПС 110/35/10 "Южная")</t>
  </si>
  <si>
    <t>ТП-35 (резерв ф. 18, ПС 110/35/10 "Южная")</t>
  </si>
  <si>
    <t>ТП-36 (резерв ф. 18, ПС 110/35/10 "Южная")</t>
  </si>
  <si>
    <t>ТП-72 (резерв ф. 18, ПС 110/35/10 "Южная")</t>
  </si>
  <si>
    <t>ЦРП-11 (резерв ф. 18, ПС 110/35/10 "Южная")</t>
  </si>
  <si>
    <t>10 кВ ф. 6</t>
  </si>
  <si>
    <t>ТП-Л (потребительская)</t>
  </si>
  <si>
    <t>ТП-Н1 (потребительская)</t>
  </si>
  <si>
    <t>10 кВ ф. 7</t>
  </si>
  <si>
    <t>ТП-51 (потребительская)</t>
  </si>
  <si>
    <t>ТП-60 (Дачи-2)</t>
  </si>
  <si>
    <t>ЦРП-8 (резерв ф. 11, ПС 110/35/10 "Южная")</t>
  </si>
  <si>
    <t>ТП-25 (резерв ф. 11, ПС 110/35/10 "Южная")</t>
  </si>
  <si>
    <t>ТП-24 (резерв ф. 11, ПС 110/35/10 "Южная")</t>
  </si>
  <si>
    <t>ТП-26 (резерв ф. 11, ПС 110/35/10 "Южная")</t>
  </si>
  <si>
    <t>ТП-22 (резерв ф. 11, ПС 110/35/10 "Южная")</t>
  </si>
  <si>
    <t>ТП-23 (резерв ф. 11, ПС 110/35/10 "Южная")</t>
  </si>
  <si>
    <t>ТП-56 (резерв ф. 10, ПС 110/35/10 "Инга")</t>
  </si>
  <si>
    <t>ТП-10 (резерв ф. 10, ПС 110/35/10 "Инга")</t>
  </si>
  <si>
    <t>ТП-4 (резерв ф. 10, ПС 110/35/10 "Инга")</t>
  </si>
  <si>
    <t>ТП-5 (резерв ф. 10, ПС 110/35/10 "Инга")</t>
  </si>
  <si>
    <t>ТП-6 (резерв ф. 10, ПС 110/35/10 "Инга")</t>
  </si>
  <si>
    <t>ТП-2 (резерв ф. 10, ПС 110/35/10 "Инга")</t>
  </si>
  <si>
    <t>ТП-83 (резерв ф. 11, ПС 110/35/10 "Южная")</t>
  </si>
  <si>
    <t>ТП-84 (резерв ф. 11, ПС 110/35/10 "Южная")</t>
  </si>
  <si>
    <t>ТП-80 (резерв ф. 11, ПС 110/35/10 "Южная")</t>
  </si>
  <si>
    <t>ТП-79 (резерв ф. 11, ПС 110/35/10 "Южная")</t>
  </si>
  <si>
    <t>ТП-81 (резерв ф. 11, ПС 110/35/10 "Южная")</t>
  </si>
  <si>
    <t>ТП-82 (резерв ф. 11, ПС 110/35/10 "Южная")</t>
  </si>
  <si>
    <t>10 кВ ф. 11</t>
  </si>
  <si>
    <t>ЦРП-8 (резерв ф. 10, ПС 110/35/10 "Южная")</t>
  </si>
  <si>
    <t>ТП-25 (резерв ф. 10, ПС 110/35/10 "Южная")</t>
  </si>
  <si>
    <t>ТП-24 (резерв ф. 10, ПС 110/35/10 "Южная")</t>
  </si>
  <si>
    <t>ТП-26 (резерв ф. 10, ПС 110/35/10 "Южная")</t>
  </si>
  <si>
    <t>ТП-22 (резерв ф. 10, ПС 110/35/10 "Южная")</t>
  </si>
  <si>
    <t>ТП-23 (резерв ф. 10, ПС 110/35/10 "Южная")</t>
  </si>
  <si>
    <t>ТП-83 (резерв ф. 10, ПС 110/35/10 "Южная")</t>
  </si>
  <si>
    <t>ТП-84 (резерв ф. 10, ПС 110/35/10 "Южная")</t>
  </si>
  <si>
    <t>ТП-80 (резерв ф. 10, ПС 110/35/10 "Южная")</t>
  </si>
  <si>
    <t>ТП-79 (резерв ф. 10, ПС 110/35/10 "Южная")</t>
  </si>
  <si>
    <t>ТП-81 (резерв ф. 10, ПС 110/35/10 "Южная")</t>
  </si>
  <si>
    <t>ТП-82 (резерв ф. 10, ПС 110/35/10 "Южная")</t>
  </si>
  <si>
    <t>10 кВ ф. 18</t>
  </si>
  <si>
    <t>ТП-85 (резерв ф. 05, ПС 110/35/10 "Южная")</t>
  </si>
  <si>
    <t>ТП-39 (резерв ф. 05, ПС 110/35/10 "Южная")</t>
  </si>
  <si>
    <t>ТП-44  (резерв ф. 05, ПС 110/35/10 "Южная")</t>
  </si>
  <si>
    <t>ТП-43  (резерв ф. 05, ПС 110/35/10 "Южная")</t>
  </si>
  <si>
    <t>ТП-32  (резерв ф. 05, ПС 110/35/10 "Южная")</t>
  </si>
  <si>
    <t>ТП-34  (резерв ф. 05, ПС 110/35/10 "Южная")</t>
  </si>
  <si>
    <t>ТП-35  (резерв ф. 05, ПС 110/35/10 "Южная")</t>
  </si>
  <si>
    <t>ТП-36  (резерв ф. 05, ПС 110/35/10 "Южная")</t>
  </si>
  <si>
    <t>ТП-72  (резерв ф. 05, ПС 110/35/10 "Южная")</t>
  </si>
  <si>
    <t>ЦРП-11 (резерв ф. 05, ПС 110/35/10 "Южная")</t>
  </si>
  <si>
    <t>10 кВ ф. 19</t>
  </si>
  <si>
    <t>ЦРП-2 (резерв ф. 20, ПС 110/35/10 "Южная")</t>
  </si>
  <si>
    <t>ТП-15 (резерв ф. 20, ПС 110/35/10 "Южная")</t>
  </si>
  <si>
    <t>ТП-17 (резерв ф. 20, ПС 110/35/10 "Южная")</t>
  </si>
  <si>
    <t>ТП-21 (резерв ф. 20, ПС 110/35/10 "Южная")</t>
  </si>
  <si>
    <t>ТП-14 (резерв ф. 20, ПС 110/35/10 "Южная")</t>
  </si>
  <si>
    <t>ТП-11 (резерв ф. 20, ПС 110/35/10 "Южная")</t>
  </si>
  <si>
    <t>ТП-65 (резерв ф. 20, ПС 110/35/10 "Южная")</t>
  </si>
  <si>
    <t>ТП-42 (резерв ф. 20, ПС 110/35/10 "Южная")</t>
  </si>
  <si>
    <t>ТП-31 (резерв ф. 20, ПС 110/35/10 "Южная")</t>
  </si>
  <si>
    <t>ТП-13 (резерв ф. 20, ПС 110/35/10 "Южная")</t>
  </si>
  <si>
    <t>ТП-16 (резерв ф. 20, ПС 110/35/10 "Южная")</t>
  </si>
  <si>
    <t>ТП-18 (резерв ф. 20, ПС 110/35/10 "Южная")</t>
  </si>
  <si>
    <t>ТП-20 (резерв ф. 20, ПС 110/35/10 "Южная")</t>
  </si>
  <si>
    <t>10 кВ ф. 20</t>
  </si>
  <si>
    <t>ЦРП-2 (резерв ф. 19, ПС 110/35/10 "Южная")</t>
  </si>
  <si>
    <t>ТП-15 (резерв ф. 19, ПС 110/35/10 "Южная")</t>
  </si>
  <si>
    <t>ТП-17 (резерв ф. 19, ПС 110/35/10 "Южная")</t>
  </si>
  <si>
    <t>ТП-21 (резерв ф. 19, ПС 110/35/10 "Южная")</t>
  </si>
  <si>
    <t>ТП-14 (резерв ф. 19, ПС 110/35/10 "Южная")</t>
  </si>
  <si>
    <t>ТП-11 (резерв ф. 19, ПС 110/35/10 "Южная")</t>
  </si>
  <si>
    <t>ТП-65 (резерв ф. 19, ПС 110/35/10 "Южная")</t>
  </si>
  <si>
    <t>ТП-42 (резерв ф. 19, ПС 110/35/10 "Южная")</t>
  </si>
  <si>
    <t>ТП-31 (резерв ф. 19, ПС 110/35/10 "Южная")</t>
  </si>
  <si>
    <t>ТП-13 (резерв ф. 19, ПС 110/35/10 "Южная")</t>
  </si>
  <si>
    <t>ТП-16 (резерв ф. 19, ПС 110/35/10 "Южная")</t>
  </si>
  <si>
    <t>ТП-18 (резерв ф. 19, ПС 110/35/10 "Южная")</t>
  </si>
  <si>
    <t>ТП-20 (резерв ф. 19, ПС 110/35/10 "Южная")</t>
  </si>
  <si>
    <t>10 кВ ф. 21</t>
  </si>
  <si>
    <t>ЦРП-3 (резерв ф. 22, ПС 110/35/10 "Южная")</t>
  </si>
  <si>
    <t>ТП-52 (резерв ф. 22, ПС 110/35/10 "Южная")</t>
  </si>
  <si>
    <t>ТП-53 (резерв ф. 22, ПС 110/35/10 "Южная")</t>
  </si>
  <si>
    <t>ТП-54 (резерв ф. 22, ПС 110/35/10 "Южная")</t>
  </si>
  <si>
    <t>10 кВ ф. 22</t>
  </si>
  <si>
    <t>ЦРП-3 (резерв ф. 21, ПС 110/35/10 "Южная")</t>
  </si>
  <si>
    <t>ТП-52 (резерв ф. 21, ПС 110/35/10 "Южная")</t>
  </si>
  <si>
    <t>ТП-53 (резерв ф. 21, ПС 110/35/10 "Южная")</t>
  </si>
  <si>
    <t>ТП-54 (резерв ф. 21, ПС 110/35/10 "Южная")</t>
  </si>
  <si>
    <t>10 кВ ф. 25</t>
  </si>
  <si>
    <t>ТП-61 (резерв ф. 26, ПС 110/35/10 "Южная")</t>
  </si>
  <si>
    <t>ТП-59 (резерв ф. 26, ПС 110/35/10 "Южная")</t>
  </si>
  <si>
    <t>10 кВ ф. 26</t>
  </si>
  <si>
    <t>ТП-61 (резерв ф. 25, ПС 110/35/10 "Южная")</t>
  </si>
  <si>
    <t>ТП-59 (резерв ф. 25, ПС 110/35/10 "Южная")</t>
  </si>
  <si>
    <t>10 кВ ф. 27</t>
  </si>
  <si>
    <t>ТП-2 (резерв ф. 28, ПС 110/35/10 "Южная")</t>
  </si>
  <si>
    <t>ТП-1 (резерв ф. 28, ПС 110/35/10 "Южная")</t>
  </si>
  <si>
    <t>ТП-60</t>
  </si>
  <si>
    <t>ТП-70</t>
  </si>
  <si>
    <t>ЦРП-5 (резерв ф. 28, ПС 110/35/10 "Южная")</t>
  </si>
  <si>
    <t>ТП-105 (резерв ф. 28, ПС 110/35/10 "Южная")</t>
  </si>
  <si>
    <t>10 кВ ф.28</t>
  </si>
  <si>
    <t>ТП-2 (резерв ф. 27, ПС 110/35/10 "Южная")</t>
  </si>
  <si>
    <t>ТП-1 (резерв ф. 27, ПС 110/35/10 "Южная")</t>
  </si>
  <si>
    <t>ЦРП-5 (резерв ф. 27, ПС 110/35/10 "Южная")</t>
  </si>
  <si>
    <t>ТП-105 (резерв ф. 27, ПС 110/35/10 "Южная")</t>
  </si>
  <si>
    <t>Итого по ПС 110/35/10 "Южная"</t>
  </si>
  <si>
    <t>ПС 35/10 № 21</t>
  </si>
  <si>
    <t>ООО "Лукойл-Энергосети"</t>
  </si>
  <si>
    <t xml:space="preserve">ПС 110/35/10 "Южная", 35 кВ ф. Восточно-Ягунская </t>
  </si>
  <si>
    <t>Оп. 30, ПС 35/10 кВ № 21 В-1</t>
  </si>
  <si>
    <t>Оп.30, ПС 35/10 кВ № 21 В-2</t>
  </si>
  <si>
    <t>ПС 110/35/10 кВ "Инга", ПС 35/6 кВ № 31</t>
  </si>
  <si>
    <t>6 кВ ф.31-04 ТП-63</t>
  </si>
  <si>
    <t>6 кВ ф.31-08 ТП-63</t>
  </si>
  <si>
    <t>ТП-62</t>
  </si>
  <si>
    <t>6 кВ ф.31-04 ТП-62</t>
  </si>
  <si>
    <t>ТП-64</t>
  </si>
  <si>
    <t>6 кВ ф.31-08 ТП-62</t>
  </si>
  <si>
    <t>ПС 110/35/10 кВ "Инга", ПС 35/6 кВ № 32</t>
  </si>
  <si>
    <t>6 кВ ф.32-04 ТП-64</t>
  </si>
  <si>
    <t>ТП-228</t>
  </si>
  <si>
    <t>6 кВ ф.32-15 ТП-64</t>
  </si>
  <si>
    <t>ТП-227</t>
  </si>
  <si>
    <t>6 кВ ф.32-08 ТП-228</t>
  </si>
  <si>
    <t>ТП-69</t>
  </si>
  <si>
    <t>6 кВ ф.32-16 ТП-227</t>
  </si>
  <si>
    <t>ТП-66</t>
  </si>
  <si>
    <t>6 кВ ф.32-16 КТПН-69</t>
  </si>
  <si>
    <t>ПС 35/10 кВ № 19</t>
  </si>
  <si>
    <t>яч. ЯКНО 10 кВ ф.19-03 ТП-66</t>
  </si>
  <si>
    <t>ТП-92</t>
  </si>
  <si>
    <t>яч. ЯКНО 10 кВ ф.19-09 ТП-66</t>
  </si>
  <si>
    <t>10 кВ ф.19-10 ТП-92 РСУ</t>
  </si>
  <si>
    <r>
      <t xml:space="preserve">Макимальная мощность, по </t>
    </r>
    <r>
      <rPr>
        <sz val="12"/>
        <color rgb="FFFF0000"/>
        <rFont val="Times New Roman"/>
        <family val="1"/>
        <charset val="204"/>
      </rPr>
      <t>исполненным</t>
    </r>
    <r>
      <rPr>
        <sz val="12"/>
        <color theme="1"/>
        <rFont val="Times New Roman"/>
        <family val="1"/>
        <charset val="204"/>
      </rPr>
      <t xml:space="preserve"> договорам кВт</t>
    </r>
  </si>
  <si>
    <r>
      <t xml:space="preserve">Макимальная мощность, по </t>
    </r>
    <r>
      <rPr>
        <sz val="12"/>
        <color rgb="FFFF0000"/>
        <rFont val="Times New Roman"/>
        <family val="1"/>
        <charset val="204"/>
      </rPr>
      <t>заключенным</t>
    </r>
    <r>
      <rPr>
        <sz val="12"/>
        <color theme="1"/>
        <rFont val="Times New Roman"/>
        <family val="1"/>
        <charset val="204"/>
      </rPr>
      <t xml:space="preserve"> договорам кВт</t>
    </r>
  </si>
  <si>
    <r>
      <t xml:space="preserve">Макимальная мощность, </t>
    </r>
    <r>
      <rPr>
        <sz val="12"/>
        <color rgb="FFFF0000"/>
        <rFont val="Times New Roman"/>
        <family val="1"/>
        <charset val="204"/>
      </rPr>
      <t xml:space="preserve">общая </t>
    </r>
    <r>
      <rPr>
        <sz val="12"/>
        <color theme="1"/>
        <rFont val="Times New Roman"/>
        <family val="1"/>
        <charset val="204"/>
      </rPr>
      <t>кВт</t>
    </r>
  </si>
  <si>
    <t>15</t>
  </si>
  <si>
    <t>45</t>
  </si>
  <si>
    <t>фид. 6 кВ № 20</t>
  </si>
  <si>
    <t>ТП №13-4 (резерв ф. № 17 "Строитель"  ПС 110/10 " Геологическая")</t>
  </si>
  <si>
    <t>ТП №12-2 (резерв ф. № 18 "Поселок" ПС 110/10 " Геологическая")</t>
  </si>
  <si>
    <t>48</t>
  </si>
  <si>
    <t>102</t>
  </si>
  <si>
    <t>89</t>
  </si>
  <si>
    <t>20</t>
  </si>
  <si>
    <t>22</t>
  </si>
  <si>
    <t>16</t>
  </si>
  <si>
    <t>55</t>
  </si>
  <si>
    <t>Загрузка трансформаторных подстанций 10/0,4 и 6/0,4 с привязкой к питающим центрам по состоянию на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</si>
</sst>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 Cyr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6" fillId="0" borderId="0"/>
    <xf numFmtId="0" fontId="7" fillId="0" borderId="0"/>
    <xf numFmtId="0" fontId="8" fillId="0" borderId="0"/>
    <xf numFmtId="0" fontId="10" fillId="0" borderId="0"/>
  </cellStyleXfs>
  <cellXfs count="293">
    <xf numFmtId="0" fontId="0" fillId="0" borderId="0" xfId="0"/>
    <xf numFmtId="1" fontId="2" fillId="0" borderId="1" xfId="0" applyNumberFormat="1" applyFont="1" applyFill="1" applyBorder="1" applyAlignment="1">
      <alignment horizontal="center" vertical="center"/>
    </xf>
    <xf numFmtId="2" fontId="2" fillId="0" borderId="18" xfId="1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shrinkToFit="1"/>
    </xf>
    <xf numFmtId="165" fontId="4" fillId="2" borderId="1" xfId="5" applyNumberFormat="1" applyFont="1" applyFill="1" applyBorder="1" applyAlignment="1">
      <alignment horizontal="center" vertical="center" wrapText="1"/>
    </xf>
    <xf numFmtId="165" fontId="4" fillId="2" borderId="26" xfId="2" applyNumberFormat="1" applyFont="1" applyFill="1" applyBorder="1" applyAlignment="1">
      <alignment horizontal="center" vertical="center" wrapText="1"/>
    </xf>
    <xf numFmtId="165" fontId="4" fillId="2" borderId="1" xfId="2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4" fillId="0" borderId="3" xfId="6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quotePrefix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vertical="center" wrapText="1"/>
    </xf>
    <xf numFmtId="0" fontId="2" fillId="0" borderId="38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0" borderId="18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2" fontId="2" fillId="0" borderId="26" xfId="0" applyNumberFormat="1" applyFont="1" applyFill="1" applyBorder="1" applyAlignment="1">
      <alignment horizontal="center" vertical="center"/>
    </xf>
    <xf numFmtId="2" fontId="2" fillId="0" borderId="26" xfId="1" applyNumberFormat="1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49" fontId="2" fillId="0" borderId="42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12" fillId="0" borderId="26" xfId="0" applyNumberFormat="1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49" fontId="2" fillId="0" borderId="26" xfId="0" quotePrefix="1" applyNumberFormat="1" applyFont="1" applyFill="1" applyBorder="1" applyAlignment="1">
      <alignment horizontal="center" vertical="center"/>
    </xf>
    <xf numFmtId="49" fontId="2" fillId="0" borderId="9" xfId="0" quotePrefix="1" applyNumberFormat="1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49" fontId="12" fillId="0" borderId="2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12" fillId="0" borderId="9" xfId="0" applyNumberFormat="1" applyFont="1" applyFill="1" applyBorder="1" applyAlignment="1">
      <alignment horizontal="center" vertical="center"/>
    </xf>
    <xf numFmtId="49" fontId="2" fillId="0" borderId="26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6" fontId="2" fillId="0" borderId="26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1" fontId="2" fillId="0" borderId="26" xfId="0" applyNumberFormat="1" applyFont="1" applyFill="1" applyBorder="1" applyAlignment="1">
      <alignment horizontal="center" vertical="center"/>
    </xf>
    <xf numFmtId="1" fontId="2" fillId="2" borderId="26" xfId="0" applyNumberFormat="1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5" borderId="3" xfId="0" applyNumberFormat="1" applyFont="1" applyFill="1" applyBorder="1" applyAlignment="1">
      <alignment horizontal="center" vertical="center"/>
    </xf>
    <xf numFmtId="0" fontId="2" fillId="5" borderId="26" xfId="0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left" vertical="center" wrapText="1"/>
    </xf>
    <xf numFmtId="0" fontId="4" fillId="5" borderId="45" xfId="0" applyFont="1" applyFill="1" applyBorder="1" applyAlignment="1">
      <alignment horizontal="left" vertical="center" wrapText="1"/>
    </xf>
    <xf numFmtId="0" fontId="4" fillId="5" borderId="46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left" vertical="center" wrapText="1"/>
    </xf>
    <xf numFmtId="0" fontId="4" fillId="5" borderId="30" xfId="0" applyFont="1" applyFill="1" applyBorder="1" applyAlignment="1">
      <alignment horizontal="left" vertical="center" wrapText="1"/>
    </xf>
    <xf numFmtId="0" fontId="4" fillId="5" borderId="2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left" vertical="center" wrapText="1"/>
    </xf>
    <xf numFmtId="0" fontId="2" fillId="5" borderId="30" xfId="0" applyFont="1" applyFill="1" applyBorder="1" applyAlignment="1">
      <alignment horizontal="left" vertical="center" wrapText="1"/>
    </xf>
    <xf numFmtId="0" fontId="2" fillId="5" borderId="41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5" borderId="40" xfId="0" applyFont="1" applyFill="1" applyBorder="1" applyAlignment="1">
      <alignment horizontal="left" wrapText="1"/>
    </xf>
    <xf numFmtId="0" fontId="2" fillId="5" borderId="30" xfId="0" applyFont="1" applyFill="1" applyBorder="1" applyAlignment="1">
      <alignment horizontal="left" wrapText="1"/>
    </xf>
    <xf numFmtId="0" fontId="2" fillId="5" borderId="27" xfId="0" applyFont="1" applyFill="1" applyBorder="1" applyAlignment="1">
      <alignment horizontal="left" wrapText="1"/>
    </xf>
    <xf numFmtId="0" fontId="2" fillId="0" borderId="3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11" xfId="2"/>
    <cellStyle name="Обычный 2" xfId="5"/>
    <cellStyle name="Обычный 2 2" xfId="6"/>
    <cellStyle name="Обычный 6" xfId="4"/>
    <cellStyle name="Обычный_Приложение 4 тр-ры, двиг" xfId="3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S1927"/>
  <sheetViews>
    <sheetView showZeros="0" tabSelected="1" zoomScale="55" zoomScaleNormal="55" workbookViewId="0">
      <pane ySplit="10" topLeftCell="A12" activePane="bottomLeft" state="frozen"/>
      <selection pane="bottomLeft" activeCell="K8" sqref="K8:K9"/>
    </sheetView>
  </sheetViews>
  <sheetFormatPr defaultRowHeight="15.75" x14ac:dyDescent="0.25"/>
  <cols>
    <col min="1" max="1" width="6.28515625" style="52" customWidth="1"/>
    <col min="2" max="2" width="22.5703125" style="117" customWidth="1"/>
    <col min="3" max="3" width="21.28515625" style="117" customWidth="1"/>
    <col min="4" max="4" width="21.7109375" style="117" customWidth="1"/>
    <col min="5" max="5" width="20.140625" style="117" customWidth="1"/>
    <col min="6" max="6" width="41" style="117" customWidth="1"/>
    <col min="7" max="7" width="25.28515625" style="117" customWidth="1"/>
    <col min="8" max="8" width="9.140625" style="117" customWidth="1"/>
    <col min="9" max="9" width="10.7109375" style="117" customWidth="1"/>
    <col min="10" max="10" width="20.140625" style="117" customWidth="1"/>
    <col min="11" max="11" width="17.85546875" style="52" customWidth="1"/>
    <col min="12" max="12" width="15.42578125" style="52" customWidth="1"/>
    <col min="13" max="13" width="72.140625" style="52" customWidth="1"/>
    <col min="14" max="14" width="21.7109375" style="52" customWidth="1"/>
    <col min="15" max="15" width="24.85546875" style="52" hidden="1" customWidth="1"/>
    <col min="16" max="17" width="24.85546875" style="98" hidden="1" customWidth="1"/>
    <col min="18" max="18" width="24.85546875" style="98" customWidth="1"/>
    <col min="19" max="19" width="16.42578125" style="52" customWidth="1"/>
    <col min="20" max="20" width="29.7109375" style="6" customWidth="1"/>
    <col min="21" max="16384" width="9.140625" style="6"/>
  </cols>
  <sheetData>
    <row r="2" spans="1:19" x14ac:dyDescent="0.25">
      <c r="O2" s="213" t="s">
        <v>551</v>
      </c>
      <c r="P2" s="213"/>
      <c r="Q2" s="213"/>
      <c r="R2" s="213"/>
      <c r="S2" s="213"/>
    </row>
    <row r="4" spans="1:19" x14ac:dyDescent="0.25">
      <c r="A4" s="213" t="s">
        <v>2143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</row>
    <row r="7" spans="1:19" ht="16.5" thickBot="1" x14ac:dyDescent="0.3"/>
    <row r="8" spans="1:19" ht="47.25" customHeight="1" x14ac:dyDescent="0.25">
      <c r="A8" s="234" t="s">
        <v>0</v>
      </c>
      <c r="B8" s="178" t="s">
        <v>1</v>
      </c>
      <c r="C8" s="178" t="s">
        <v>100</v>
      </c>
      <c r="D8" s="178" t="s">
        <v>55</v>
      </c>
      <c r="E8" s="178" t="s">
        <v>111</v>
      </c>
      <c r="F8" s="178" t="s">
        <v>57</v>
      </c>
      <c r="G8" s="178"/>
      <c r="H8" s="178" t="s">
        <v>2</v>
      </c>
      <c r="I8" s="178"/>
      <c r="J8" s="178" t="s">
        <v>53</v>
      </c>
      <c r="K8" s="178" t="s">
        <v>54</v>
      </c>
      <c r="L8" s="178" t="s">
        <v>550</v>
      </c>
      <c r="M8" s="178" t="s">
        <v>114</v>
      </c>
      <c r="N8" s="178" t="s">
        <v>112</v>
      </c>
      <c r="O8" s="178" t="s">
        <v>285</v>
      </c>
      <c r="P8" s="178" t="s">
        <v>2129</v>
      </c>
      <c r="Q8" s="179" t="s">
        <v>2128</v>
      </c>
      <c r="R8" s="178" t="s">
        <v>2130</v>
      </c>
      <c r="S8" s="232" t="s">
        <v>113</v>
      </c>
    </row>
    <row r="9" spans="1:19" ht="31.5" customHeight="1" x14ac:dyDescent="0.25">
      <c r="A9" s="235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80"/>
      <c r="R9" s="169"/>
      <c r="S9" s="233"/>
    </row>
    <row r="10" spans="1:19" ht="16.5" thickBot="1" x14ac:dyDescent="0.3">
      <c r="A10" s="7">
        <v>1</v>
      </c>
      <c r="B10" s="54">
        <v>2</v>
      </c>
      <c r="C10" s="54">
        <v>3</v>
      </c>
      <c r="D10" s="54">
        <v>4</v>
      </c>
      <c r="E10" s="54">
        <v>5</v>
      </c>
      <c r="F10" s="236">
        <v>6</v>
      </c>
      <c r="G10" s="236"/>
      <c r="H10" s="236">
        <v>7</v>
      </c>
      <c r="I10" s="236"/>
      <c r="J10" s="54">
        <v>8</v>
      </c>
      <c r="K10" s="54">
        <v>9</v>
      </c>
      <c r="L10" s="54">
        <v>10</v>
      </c>
      <c r="M10" s="54"/>
      <c r="N10" s="4">
        <v>11</v>
      </c>
      <c r="O10" s="4">
        <v>13</v>
      </c>
      <c r="P10" s="119"/>
      <c r="Q10" s="119"/>
      <c r="R10" s="119"/>
      <c r="S10" s="8">
        <v>14</v>
      </c>
    </row>
    <row r="11" spans="1:19" ht="16.5" hidden="1" thickBot="1" x14ac:dyDescent="0.3">
      <c r="A11" s="164" t="s">
        <v>552</v>
      </c>
      <c r="B11" s="257"/>
      <c r="C11" s="257"/>
      <c r="D11" s="257"/>
      <c r="E11" s="257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7"/>
      <c r="Q11" s="167"/>
      <c r="R11" s="167"/>
      <c r="S11" s="168"/>
    </row>
    <row r="12" spans="1:19" x14ac:dyDescent="0.25">
      <c r="A12" s="258" t="s">
        <v>553</v>
      </c>
      <c r="B12" s="252" t="s">
        <v>544</v>
      </c>
      <c r="C12" s="252" t="s">
        <v>554</v>
      </c>
      <c r="D12" s="228" t="s">
        <v>275</v>
      </c>
      <c r="E12" s="252"/>
      <c r="F12" s="219" t="s">
        <v>545</v>
      </c>
      <c r="G12" s="220"/>
      <c r="H12" s="254" t="s">
        <v>555</v>
      </c>
      <c r="I12" s="253"/>
      <c r="J12" s="182">
        <v>6</v>
      </c>
      <c r="K12" s="91"/>
      <c r="L12" s="238">
        <v>9.0999999999999998E-2</v>
      </c>
      <c r="M12" s="5" t="s">
        <v>556</v>
      </c>
      <c r="N12" s="3">
        <v>250</v>
      </c>
      <c r="O12" s="10">
        <v>20.76</v>
      </c>
      <c r="P12" s="120"/>
      <c r="Q12" s="120"/>
      <c r="R12" s="120">
        <f>O12+P12+Q12</f>
        <v>20.76</v>
      </c>
      <c r="S12" s="2">
        <f>R12/(N12*0.92)</f>
        <v>9.0260869565217394E-2</v>
      </c>
    </row>
    <row r="13" spans="1:19" x14ac:dyDescent="0.25">
      <c r="A13" s="259"/>
      <c r="B13" s="252"/>
      <c r="C13" s="252"/>
      <c r="D13" s="228"/>
      <c r="E13" s="252"/>
      <c r="F13" s="221"/>
      <c r="G13" s="222"/>
      <c r="H13" s="254"/>
      <c r="I13" s="253"/>
      <c r="J13" s="182"/>
      <c r="K13" s="91"/>
      <c r="L13" s="243"/>
      <c r="M13" s="5" t="s">
        <v>557</v>
      </c>
      <c r="N13" s="3">
        <f>2*250</f>
        <v>500</v>
      </c>
      <c r="O13" s="10">
        <v>33.68</v>
      </c>
      <c r="P13" s="120"/>
      <c r="Q13" s="120"/>
      <c r="R13" s="120">
        <f t="shared" ref="R13:R76" si="0">O13+P13+Q13</f>
        <v>33.68</v>
      </c>
      <c r="S13" s="2">
        <f t="shared" ref="S13:S76" si="1">R13/(N13*0.92)</f>
        <v>7.3217391304347831E-2</v>
      </c>
    </row>
    <row r="14" spans="1:19" x14ac:dyDescent="0.25">
      <c r="A14" s="259"/>
      <c r="B14" s="252"/>
      <c r="C14" s="252"/>
      <c r="D14" s="228"/>
      <c r="E14" s="252"/>
      <c r="F14" s="221"/>
      <c r="G14" s="222"/>
      <c r="H14" s="254"/>
      <c r="I14" s="253"/>
      <c r="J14" s="182"/>
      <c r="K14" s="91"/>
      <c r="L14" s="239"/>
      <c r="M14" s="5" t="s">
        <v>558</v>
      </c>
      <c r="N14" s="3">
        <v>25</v>
      </c>
      <c r="O14" s="11">
        <v>2.08</v>
      </c>
      <c r="P14" s="121"/>
      <c r="Q14" s="121"/>
      <c r="R14" s="120">
        <f t="shared" si="0"/>
        <v>2.08</v>
      </c>
      <c r="S14" s="2">
        <f t="shared" si="1"/>
        <v>9.0434782608695655E-2</v>
      </c>
    </row>
    <row r="15" spans="1:19" x14ac:dyDescent="0.25">
      <c r="A15" s="258" t="s">
        <v>559</v>
      </c>
      <c r="B15" s="252"/>
      <c r="C15" s="252"/>
      <c r="D15" s="228"/>
      <c r="E15" s="252"/>
      <c r="F15" s="228" t="s">
        <v>546</v>
      </c>
      <c r="G15" s="228"/>
      <c r="H15" s="254"/>
      <c r="I15" s="253"/>
      <c r="J15" s="182"/>
      <c r="K15" s="91"/>
      <c r="L15" s="238">
        <v>0.97799999999999998</v>
      </c>
      <c r="M15" s="5" t="s">
        <v>560</v>
      </c>
      <c r="N15" s="3">
        <f>2*400</f>
        <v>800</v>
      </c>
      <c r="O15" s="11">
        <v>129.4</v>
      </c>
      <c r="P15" s="121"/>
      <c r="Q15" s="121"/>
      <c r="R15" s="120">
        <f t="shared" si="0"/>
        <v>129.4</v>
      </c>
      <c r="S15" s="2">
        <f t="shared" si="1"/>
        <v>0.17581521739130435</v>
      </c>
    </row>
    <row r="16" spans="1:19" x14ac:dyDescent="0.25">
      <c r="A16" s="259"/>
      <c r="B16" s="252"/>
      <c r="C16" s="252"/>
      <c r="D16" s="228"/>
      <c r="E16" s="252"/>
      <c r="F16" s="228"/>
      <c r="G16" s="228"/>
      <c r="H16" s="254"/>
      <c r="I16" s="253"/>
      <c r="J16" s="182"/>
      <c r="K16" s="91"/>
      <c r="L16" s="243"/>
      <c r="M16" s="5" t="s">
        <v>561</v>
      </c>
      <c r="N16" s="3">
        <v>250</v>
      </c>
      <c r="O16" s="11">
        <v>102.88</v>
      </c>
      <c r="P16" s="121"/>
      <c r="Q16" s="121"/>
      <c r="R16" s="120">
        <f t="shared" si="0"/>
        <v>102.88</v>
      </c>
      <c r="S16" s="2">
        <f t="shared" si="1"/>
        <v>0.44730434782608691</v>
      </c>
    </row>
    <row r="17" spans="1:19" x14ac:dyDescent="0.25">
      <c r="A17" s="259"/>
      <c r="B17" s="252"/>
      <c r="C17" s="252"/>
      <c r="D17" s="228"/>
      <c r="E17" s="252"/>
      <c r="F17" s="228"/>
      <c r="G17" s="228"/>
      <c r="H17" s="254"/>
      <c r="I17" s="253"/>
      <c r="J17" s="182"/>
      <c r="K17" s="91"/>
      <c r="L17" s="243"/>
      <c r="M17" s="5" t="s">
        <v>562</v>
      </c>
      <c r="N17" s="3">
        <f>2*400</f>
        <v>800</v>
      </c>
      <c r="O17" s="11">
        <v>15.92</v>
      </c>
      <c r="P17" s="121"/>
      <c r="Q17" s="121"/>
      <c r="R17" s="120">
        <f t="shared" si="0"/>
        <v>15.92</v>
      </c>
      <c r="S17" s="2">
        <f t="shared" si="1"/>
        <v>2.1630434782608697E-2</v>
      </c>
    </row>
    <row r="18" spans="1:19" x14ac:dyDescent="0.25">
      <c r="A18" s="259"/>
      <c r="B18" s="252"/>
      <c r="C18" s="252"/>
      <c r="D18" s="228"/>
      <c r="E18" s="252"/>
      <c r="F18" s="228"/>
      <c r="G18" s="228"/>
      <c r="H18" s="254"/>
      <c r="I18" s="253"/>
      <c r="J18" s="182"/>
      <c r="K18" s="91"/>
      <c r="L18" s="243"/>
      <c r="M18" s="5" t="s">
        <v>563</v>
      </c>
      <c r="N18" s="3">
        <f>2*630</f>
        <v>1260</v>
      </c>
      <c r="O18" s="11">
        <v>95.96</v>
      </c>
      <c r="P18" s="121"/>
      <c r="Q18" s="121"/>
      <c r="R18" s="120">
        <f t="shared" si="0"/>
        <v>95.96</v>
      </c>
      <c r="S18" s="2">
        <f t="shared" si="1"/>
        <v>8.278122843340234E-2</v>
      </c>
    </row>
    <row r="19" spans="1:19" x14ac:dyDescent="0.25">
      <c r="A19" s="259"/>
      <c r="B19" s="252"/>
      <c r="C19" s="252"/>
      <c r="D19" s="228"/>
      <c r="E19" s="252"/>
      <c r="F19" s="228"/>
      <c r="G19" s="228"/>
      <c r="H19" s="254"/>
      <c r="I19" s="253"/>
      <c r="J19" s="182"/>
      <c r="K19" s="91"/>
      <c r="L19" s="243"/>
      <c r="M19" s="5" t="s">
        <v>564</v>
      </c>
      <c r="N19" s="3">
        <v>160</v>
      </c>
      <c r="O19" s="11">
        <v>28.14</v>
      </c>
      <c r="P19" s="121"/>
      <c r="Q19" s="121"/>
      <c r="R19" s="120">
        <f t="shared" si="0"/>
        <v>28.14</v>
      </c>
      <c r="S19" s="2">
        <f t="shared" si="1"/>
        <v>0.19116847826086955</v>
      </c>
    </row>
    <row r="20" spans="1:19" x14ac:dyDescent="0.25">
      <c r="A20" s="259"/>
      <c r="B20" s="252"/>
      <c r="C20" s="252"/>
      <c r="D20" s="228"/>
      <c r="E20" s="252"/>
      <c r="F20" s="228"/>
      <c r="G20" s="228"/>
      <c r="H20" s="254"/>
      <c r="I20" s="253"/>
      <c r="J20" s="182"/>
      <c r="K20" s="91"/>
      <c r="L20" s="243"/>
      <c r="M20" s="5" t="s">
        <v>565</v>
      </c>
      <c r="N20" s="3">
        <v>250</v>
      </c>
      <c r="O20" s="11">
        <v>66.66</v>
      </c>
      <c r="P20" s="121"/>
      <c r="Q20" s="121"/>
      <c r="R20" s="120">
        <f t="shared" si="0"/>
        <v>66.66</v>
      </c>
      <c r="S20" s="2">
        <f t="shared" si="1"/>
        <v>0.28982608695652173</v>
      </c>
    </row>
    <row r="21" spans="1:19" x14ac:dyDescent="0.25">
      <c r="A21" s="259"/>
      <c r="B21" s="252"/>
      <c r="C21" s="252"/>
      <c r="D21" s="228"/>
      <c r="E21" s="252"/>
      <c r="F21" s="228"/>
      <c r="G21" s="228"/>
      <c r="H21" s="254"/>
      <c r="I21" s="253"/>
      <c r="J21" s="182"/>
      <c r="K21" s="91"/>
      <c r="L21" s="243"/>
      <c r="M21" s="5" t="s">
        <v>566</v>
      </c>
      <c r="N21" s="3">
        <v>250</v>
      </c>
      <c r="O21" s="11">
        <v>43.83</v>
      </c>
      <c r="P21" s="121"/>
      <c r="Q21" s="121"/>
      <c r="R21" s="120">
        <f t="shared" si="0"/>
        <v>43.83</v>
      </c>
      <c r="S21" s="2">
        <f t="shared" si="1"/>
        <v>0.19056521739130433</v>
      </c>
    </row>
    <row r="22" spans="1:19" x14ac:dyDescent="0.25">
      <c r="A22" s="259"/>
      <c r="B22" s="252"/>
      <c r="C22" s="252"/>
      <c r="D22" s="228"/>
      <c r="E22" s="252"/>
      <c r="F22" s="228"/>
      <c r="G22" s="228"/>
      <c r="H22" s="254"/>
      <c r="I22" s="253"/>
      <c r="J22" s="182"/>
      <c r="K22" s="91"/>
      <c r="L22" s="243"/>
      <c r="M22" s="5" t="s">
        <v>567</v>
      </c>
      <c r="N22" s="3">
        <v>400</v>
      </c>
      <c r="O22" s="11">
        <v>64.59</v>
      </c>
      <c r="P22" s="121"/>
      <c r="Q22" s="121"/>
      <c r="R22" s="120">
        <f t="shared" si="0"/>
        <v>64.59</v>
      </c>
      <c r="S22" s="2">
        <f t="shared" si="1"/>
        <v>0.17551630434782609</v>
      </c>
    </row>
    <row r="23" spans="1:19" x14ac:dyDescent="0.25">
      <c r="A23" s="259"/>
      <c r="B23" s="252"/>
      <c r="C23" s="252"/>
      <c r="D23" s="228"/>
      <c r="E23" s="252"/>
      <c r="F23" s="228"/>
      <c r="G23" s="228"/>
      <c r="H23" s="254"/>
      <c r="I23" s="253"/>
      <c r="J23" s="182"/>
      <c r="K23" s="91"/>
      <c r="L23" s="243"/>
      <c r="M23" s="5" t="s">
        <v>568</v>
      </c>
      <c r="N23" s="3">
        <f>2*630</f>
        <v>1260</v>
      </c>
      <c r="O23" s="11">
        <v>158.72</v>
      </c>
      <c r="P23" s="121"/>
      <c r="Q23" s="121"/>
      <c r="R23" s="120">
        <f t="shared" si="0"/>
        <v>158.72</v>
      </c>
      <c r="S23" s="2">
        <f t="shared" si="1"/>
        <v>0.13692201518288474</v>
      </c>
    </row>
    <row r="24" spans="1:19" x14ac:dyDescent="0.25">
      <c r="A24" s="259"/>
      <c r="B24" s="252"/>
      <c r="C24" s="252"/>
      <c r="D24" s="228"/>
      <c r="E24" s="252"/>
      <c r="F24" s="228"/>
      <c r="G24" s="228"/>
      <c r="H24" s="254"/>
      <c r="I24" s="253"/>
      <c r="J24" s="182"/>
      <c r="K24" s="91"/>
      <c r="L24" s="243"/>
      <c r="M24" s="5" t="s">
        <v>569</v>
      </c>
      <c r="N24" s="3">
        <f>2*400</f>
        <v>800</v>
      </c>
      <c r="O24" s="11">
        <v>64.260000000000005</v>
      </c>
      <c r="P24" s="121"/>
      <c r="Q24" s="121">
        <f>60</f>
        <v>60</v>
      </c>
      <c r="R24" s="120">
        <f t="shared" si="0"/>
        <v>124.26</v>
      </c>
      <c r="S24" s="2">
        <f t="shared" si="1"/>
        <v>0.16883152173913044</v>
      </c>
    </row>
    <row r="25" spans="1:19" x14ac:dyDescent="0.25">
      <c r="A25" s="259"/>
      <c r="B25" s="252"/>
      <c r="C25" s="252"/>
      <c r="D25" s="228"/>
      <c r="E25" s="252"/>
      <c r="F25" s="228"/>
      <c r="G25" s="228"/>
      <c r="H25" s="254"/>
      <c r="I25" s="253"/>
      <c r="J25" s="182"/>
      <c r="K25" s="91"/>
      <c r="L25" s="243"/>
      <c r="M25" s="5" t="s">
        <v>570</v>
      </c>
      <c r="N25" s="3">
        <v>250</v>
      </c>
      <c r="O25" s="11">
        <v>94.57</v>
      </c>
      <c r="P25" s="121"/>
      <c r="Q25" s="121"/>
      <c r="R25" s="120">
        <f t="shared" si="0"/>
        <v>94.57</v>
      </c>
      <c r="S25" s="2">
        <f t="shared" si="1"/>
        <v>0.41117391304347822</v>
      </c>
    </row>
    <row r="26" spans="1:19" x14ac:dyDescent="0.25">
      <c r="A26" s="260"/>
      <c r="B26" s="252"/>
      <c r="C26" s="252"/>
      <c r="D26" s="228"/>
      <c r="E26" s="252"/>
      <c r="F26" s="228"/>
      <c r="G26" s="228"/>
      <c r="H26" s="254"/>
      <c r="I26" s="253"/>
      <c r="J26" s="182"/>
      <c r="K26" s="91"/>
      <c r="L26" s="239"/>
      <c r="M26" s="12" t="s">
        <v>571</v>
      </c>
      <c r="N26" s="91">
        <v>100</v>
      </c>
      <c r="O26" s="91">
        <v>1</v>
      </c>
      <c r="P26" s="122"/>
      <c r="Q26" s="122"/>
      <c r="R26" s="120">
        <f t="shared" si="0"/>
        <v>1</v>
      </c>
      <c r="S26" s="2">
        <f t="shared" si="1"/>
        <v>1.0869565217391304E-2</v>
      </c>
    </row>
    <row r="27" spans="1:19" x14ac:dyDescent="0.25">
      <c r="A27" s="258" t="s">
        <v>572</v>
      </c>
      <c r="B27" s="252"/>
      <c r="C27" s="252"/>
      <c r="D27" s="228"/>
      <c r="E27" s="252"/>
      <c r="F27" s="221" t="s">
        <v>547</v>
      </c>
      <c r="G27" s="222"/>
      <c r="H27" s="254"/>
      <c r="I27" s="253"/>
      <c r="J27" s="182"/>
      <c r="K27" s="91"/>
      <c r="L27" s="238">
        <v>1.296</v>
      </c>
      <c r="M27" s="5" t="s">
        <v>573</v>
      </c>
      <c r="N27" s="3">
        <f t="shared" ref="N27:N29" si="2">2*400</f>
        <v>800</v>
      </c>
      <c r="O27" s="11">
        <v>357</v>
      </c>
      <c r="P27" s="121"/>
      <c r="Q27" s="121"/>
      <c r="R27" s="120">
        <f t="shared" si="0"/>
        <v>357</v>
      </c>
      <c r="S27" s="2">
        <f t="shared" si="1"/>
        <v>0.48505434782608697</v>
      </c>
    </row>
    <row r="28" spans="1:19" x14ac:dyDescent="0.25">
      <c r="A28" s="250"/>
      <c r="B28" s="252"/>
      <c r="C28" s="252"/>
      <c r="D28" s="228"/>
      <c r="E28" s="252"/>
      <c r="F28" s="221"/>
      <c r="G28" s="222"/>
      <c r="H28" s="254"/>
      <c r="I28" s="253"/>
      <c r="J28" s="182"/>
      <c r="K28" s="91"/>
      <c r="L28" s="243"/>
      <c r="M28" s="5" t="s">
        <v>574</v>
      </c>
      <c r="N28" s="3">
        <f t="shared" si="2"/>
        <v>800</v>
      </c>
      <c r="O28" s="11">
        <v>127.9</v>
      </c>
      <c r="P28" s="121"/>
      <c r="Q28" s="121"/>
      <c r="R28" s="120">
        <f t="shared" si="0"/>
        <v>127.9</v>
      </c>
      <c r="S28" s="2">
        <f t="shared" si="1"/>
        <v>0.17377717391304348</v>
      </c>
    </row>
    <row r="29" spans="1:19" x14ac:dyDescent="0.25">
      <c r="A29" s="250"/>
      <c r="B29" s="252"/>
      <c r="C29" s="252"/>
      <c r="D29" s="228"/>
      <c r="E29" s="252"/>
      <c r="F29" s="221"/>
      <c r="G29" s="222"/>
      <c r="H29" s="254"/>
      <c r="I29" s="253"/>
      <c r="J29" s="182"/>
      <c r="K29" s="91"/>
      <c r="L29" s="243"/>
      <c r="M29" s="5" t="s">
        <v>575</v>
      </c>
      <c r="N29" s="3">
        <f t="shared" si="2"/>
        <v>800</v>
      </c>
      <c r="O29" s="11">
        <v>67</v>
      </c>
      <c r="P29" s="121"/>
      <c r="Q29" s="121"/>
      <c r="R29" s="120">
        <f t="shared" si="0"/>
        <v>67</v>
      </c>
      <c r="S29" s="2">
        <f t="shared" si="1"/>
        <v>9.1032608695652176E-2</v>
      </c>
    </row>
    <row r="30" spans="1:19" x14ac:dyDescent="0.25">
      <c r="A30" s="250"/>
      <c r="B30" s="252"/>
      <c r="C30" s="252"/>
      <c r="D30" s="228"/>
      <c r="E30" s="252"/>
      <c r="F30" s="221"/>
      <c r="G30" s="222"/>
      <c r="H30" s="254"/>
      <c r="I30" s="253"/>
      <c r="J30" s="182"/>
      <c r="K30" s="91"/>
      <c r="L30" s="243"/>
      <c r="M30" s="13" t="s">
        <v>576</v>
      </c>
      <c r="N30" s="3">
        <f>2*250</f>
        <v>500</v>
      </c>
      <c r="O30" s="11">
        <v>98.03</v>
      </c>
      <c r="P30" s="121"/>
      <c r="Q30" s="121"/>
      <c r="R30" s="120">
        <f t="shared" si="0"/>
        <v>98.03</v>
      </c>
      <c r="S30" s="2">
        <f t="shared" si="1"/>
        <v>0.21310869565217391</v>
      </c>
    </row>
    <row r="31" spans="1:19" x14ac:dyDescent="0.25">
      <c r="A31" s="250"/>
      <c r="B31" s="252"/>
      <c r="C31" s="252"/>
      <c r="D31" s="228"/>
      <c r="E31" s="252"/>
      <c r="F31" s="221"/>
      <c r="G31" s="222"/>
      <c r="H31" s="254"/>
      <c r="I31" s="253"/>
      <c r="J31" s="182"/>
      <c r="K31" s="91"/>
      <c r="L31" s="243"/>
      <c r="M31" s="5" t="s">
        <v>577</v>
      </c>
      <c r="N31" s="3">
        <f>2*400</f>
        <v>800</v>
      </c>
      <c r="O31" s="11">
        <v>111.1</v>
      </c>
      <c r="P31" s="121"/>
      <c r="Q31" s="121"/>
      <c r="R31" s="120">
        <f t="shared" si="0"/>
        <v>111.1</v>
      </c>
      <c r="S31" s="2">
        <f t="shared" si="1"/>
        <v>0.15095108695652174</v>
      </c>
    </row>
    <row r="32" spans="1:19" x14ac:dyDescent="0.25">
      <c r="A32" s="250"/>
      <c r="B32" s="252"/>
      <c r="C32" s="252"/>
      <c r="D32" s="228"/>
      <c r="E32" s="252"/>
      <c r="F32" s="221"/>
      <c r="G32" s="222"/>
      <c r="H32" s="254"/>
      <c r="I32" s="253"/>
      <c r="J32" s="182"/>
      <c r="K32" s="91"/>
      <c r="L32" s="243"/>
      <c r="M32" s="5" t="s">
        <v>578</v>
      </c>
      <c r="N32" s="3">
        <f>2*250</f>
        <v>500</v>
      </c>
      <c r="O32" s="11">
        <v>161.4</v>
      </c>
      <c r="P32" s="121"/>
      <c r="Q32" s="121"/>
      <c r="R32" s="120">
        <f t="shared" si="0"/>
        <v>161.4</v>
      </c>
      <c r="S32" s="2">
        <f t="shared" si="1"/>
        <v>0.35086956521739132</v>
      </c>
    </row>
    <row r="33" spans="1:19" x14ac:dyDescent="0.25">
      <c r="A33" s="250"/>
      <c r="B33" s="252"/>
      <c r="C33" s="252"/>
      <c r="D33" s="228"/>
      <c r="E33" s="252"/>
      <c r="F33" s="221"/>
      <c r="G33" s="222"/>
      <c r="H33" s="254"/>
      <c r="I33" s="253"/>
      <c r="J33" s="182"/>
      <c r="K33" s="91"/>
      <c r="L33" s="243"/>
      <c r="M33" s="5" t="s">
        <v>579</v>
      </c>
      <c r="N33" s="3">
        <v>100</v>
      </c>
      <c r="O33" s="11">
        <v>64.599999999999994</v>
      </c>
      <c r="P33" s="121"/>
      <c r="Q33" s="121"/>
      <c r="R33" s="120">
        <f t="shared" si="0"/>
        <v>64.599999999999994</v>
      </c>
      <c r="S33" s="2">
        <f t="shared" si="1"/>
        <v>0.7021739130434782</v>
      </c>
    </row>
    <row r="34" spans="1:19" x14ac:dyDescent="0.25">
      <c r="A34" s="250"/>
      <c r="B34" s="252"/>
      <c r="C34" s="252"/>
      <c r="D34" s="228"/>
      <c r="E34" s="252"/>
      <c r="F34" s="221"/>
      <c r="G34" s="222"/>
      <c r="H34" s="254"/>
      <c r="I34" s="253"/>
      <c r="J34" s="182"/>
      <c r="K34" s="91"/>
      <c r="L34" s="243"/>
      <c r="M34" s="5" t="s">
        <v>580</v>
      </c>
      <c r="N34" s="3">
        <v>100</v>
      </c>
      <c r="O34" s="11">
        <v>70.3</v>
      </c>
      <c r="P34" s="121"/>
      <c r="Q34" s="121"/>
      <c r="R34" s="120">
        <f t="shared" si="0"/>
        <v>70.3</v>
      </c>
      <c r="S34" s="2">
        <f t="shared" si="1"/>
        <v>0.76413043478260867</v>
      </c>
    </row>
    <row r="35" spans="1:19" x14ac:dyDescent="0.25">
      <c r="A35" s="250"/>
      <c r="B35" s="252"/>
      <c r="C35" s="252"/>
      <c r="D35" s="228"/>
      <c r="E35" s="252"/>
      <c r="F35" s="221"/>
      <c r="G35" s="222"/>
      <c r="H35" s="254"/>
      <c r="I35" s="253"/>
      <c r="J35" s="182"/>
      <c r="K35" s="91"/>
      <c r="L35" s="243"/>
      <c r="M35" s="5" t="s">
        <v>581</v>
      </c>
      <c r="N35" s="3">
        <v>160</v>
      </c>
      <c r="O35" s="11">
        <v>24.6</v>
      </c>
      <c r="P35" s="121"/>
      <c r="Q35" s="121"/>
      <c r="R35" s="120">
        <f t="shared" si="0"/>
        <v>24.6</v>
      </c>
      <c r="S35" s="2">
        <f t="shared" si="1"/>
        <v>0.1671195652173913</v>
      </c>
    </row>
    <row r="36" spans="1:19" x14ac:dyDescent="0.25">
      <c r="A36" s="251"/>
      <c r="B36" s="252"/>
      <c r="C36" s="252"/>
      <c r="D36" s="228"/>
      <c r="E36" s="252"/>
      <c r="F36" s="223"/>
      <c r="G36" s="224"/>
      <c r="H36" s="254"/>
      <c r="I36" s="253"/>
      <c r="J36" s="182"/>
      <c r="K36" s="91"/>
      <c r="L36" s="239"/>
      <c r="M36" s="5" t="s">
        <v>582</v>
      </c>
      <c r="N36" s="3">
        <f>2*250</f>
        <v>500</v>
      </c>
      <c r="O36" s="11">
        <v>156.6</v>
      </c>
      <c r="P36" s="121"/>
      <c r="Q36" s="121"/>
      <c r="R36" s="120">
        <f t="shared" si="0"/>
        <v>156.6</v>
      </c>
      <c r="S36" s="2">
        <f t="shared" si="1"/>
        <v>0.34043478260869564</v>
      </c>
    </row>
    <row r="37" spans="1:19" x14ac:dyDescent="0.25">
      <c r="A37" s="244">
        <v>4</v>
      </c>
      <c r="B37" s="252"/>
      <c r="C37" s="252"/>
      <c r="D37" s="228"/>
      <c r="E37" s="252"/>
      <c r="F37" s="221" t="s">
        <v>583</v>
      </c>
      <c r="G37" s="222"/>
      <c r="H37" s="254"/>
      <c r="I37" s="253"/>
      <c r="J37" s="182"/>
      <c r="K37" s="91"/>
      <c r="L37" s="238">
        <v>0.55200000000000005</v>
      </c>
      <c r="M37" s="91" t="s">
        <v>584</v>
      </c>
      <c r="N37" s="91">
        <v>400</v>
      </c>
      <c r="O37" s="10">
        <v>76.12</v>
      </c>
      <c r="P37" s="120"/>
      <c r="Q37" s="120"/>
      <c r="R37" s="120">
        <f t="shared" si="0"/>
        <v>76.12</v>
      </c>
      <c r="S37" s="2">
        <f t="shared" si="1"/>
        <v>0.20684782608695654</v>
      </c>
    </row>
    <row r="38" spans="1:19" x14ac:dyDescent="0.25">
      <c r="A38" s="245"/>
      <c r="B38" s="252"/>
      <c r="C38" s="252"/>
      <c r="D38" s="228"/>
      <c r="E38" s="252"/>
      <c r="F38" s="221"/>
      <c r="G38" s="222"/>
      <c r="H38" s="254"/>
      <c r="I38" s="253"/>
      <c r="J38" s="182"/>
      <c r="K38" s="91"/>
      <c r="L38" s="243"/>
      <c r="M38" s="91" t="s">
        <v>585</v>
      </c>
      <c r="N38" s="3">
        <f t="shared" ref="N38:N40" si="3">2*250</f>
        <v>500</v>
      </c>
      <c r="O38" s="10">
        <v>84.5</v>
      </c>
      <c r="P38" s="120"/>
      <c r="Q38" s="120">
        <f>50</f>
        <v>50</v>
      </c>
      <c r="R38" s="120">
        <f t="shared" si="0"/>
        <v>134.5</v>
      </c>
      <c r="S38" s="2">
        <f t="shared" si="1"/>
        <v>0.29239130434782606</v>
      </c>
    </row>
    <row r="39" spans="1:19" x14ac:dyDescent="0.25">
      <c r="A39" s="245"/>
      <c r="B39" s="252"/>
      <c r="C39" s="252"/>
      <c r="D39" s="228"/>
      <c r="E39" s="252"/>
      <c r="F39" s="221"/>
      <c r="G39" s="222"/>
      <c r="H39" s="254"/>
      <c r="I39" s="253"/>
      <c r="J39" s="182"/>
      <c r="K39" s="91"/>
      <c r="L39" s="243"/>
      <c r="M39" s="91" t="s">
        <v>586</v>
      </c>
      <c r="N39" s="3">
        <f t="shared" si="3"/>
        <v>500</v>
      </c>
      <c r="O39" s="10">
        <v>129</v>
      </c>
      <c r="P39" s="120"/>
      <c r="Q39" s="120"/>
      <c r="R39" s="120">
        <f t="shared" si="0"/>
        <v>129</v>
      </c>
      <c r="S39" s="2">
        <f t="shared" si="1"/>
        <v>0.28043478260869564</v>
      </c>
    </row>
    <row r="40" spans="1:19" x14ac:dyDescent="0.25">
      <c r="A40" s="245"/>
      <c r="B40" s="252"/>
      <c r="C40" s="252"/>
      <c r="D40" s="228"/>
      <c r="E40" s="252"/>
      <c r="F40" s="221"/>
      <c r="G40" s="222"/>
      <c r="H40" s="254"/>
      <c r="I40" s="253"/>
      <c r="J40" s="182"/>
      <c r="K40" s="91"/>
      <c r="L40" s="243"/>
      <c r="M40" s="91" t="s">
        <v>587</v>
      </c>
      <c r="N40" s="3">
        <f t="shared" si="3"/>
        <v>500</v>
      </c>
      <c r="O40" s="10">
        <v>92</v>
      </c>
      <c r="P40" s="120"/>
      <c r="Q40" s="120"/>
      <c r="R40" s="120">
        <f t="shared" si="0"/>
        <v>92</v>
      </c>
      <c r="S40" s="2">
        <f t="shared" si="1"/>
        <v>0.2</v>
      </c>
    </row>
    <row r="41" spans="1:19" x14ac:dyDescent="0.25">
      <c r="A41" s="245"/>
      <c r="B41" s="252"/>
      <c r="C41" s="252"/>
      <c r="D41" s="228"/>
      <c r="E41" s="252"/>
      <c r="F41" s="221"/>
      <c r="G41" s="222"/>
      <c r="H41" s="254"/>
      <c r="I41" s="253"/>
      <c r="J41" s="182"/>
      <c r="K41" s="91"/>
      <c r="L41" s="243"/>
      <c r="M41" s="91" t="s">
        <v>588</v>
      </c>
      <c r="N41" s="3">
        <f>2*400</f>
        <v>800</v>
      </c>
      <c r="O41" s="10">
        <v>152</v>
      </c>
      <c r="P41" s="120"/>
      <c r="Q41" s="120">
        <f>5</f>
        <v>5</v>
      </c>
      <c r="R41" s="120">
        <f t="shared" si="0"/>
        <v>157</v>
      </c>
      <c r="S41" s="2">
        <f t="shared" si="1"/>
        <v>0.21331521739130435</v>
      </c>
    </row>
    <row r="42" spans="1:19" x14ac:dyDescent="0.25">
      <c r="A42" s="245"/>
      <c r="B42" s="252"/>
      <c r="C42" s="252"/>
      <c r="D42" s="228"/>
      <c r="E42" s="252"/>
      <c r="F42" s="221"/>
      <c r="G42" s="222"/>
      <c r="H42" s="254"/>
      <c r="I42" s="253"/>
      <c r="J42" s="182"/>
      <c r="K42" s="91"/>
      <c r="L42" s="243"/>
      <c r="M42" s="91" t="s">
        <v>589</v>
      </c>
      <c r="N42" s="91">
        <v>100</v>
      </c>
      <c r="O42" s="10">
        <v>1</v>
      </c>
      <c r="P42" s="120"/>
      <c r="Q42" s="120"/>
      <c r="R42" s="120">
        <f t="shared" si="0"/>
        <v>1</v>
      </c>
      <c r="S42" s="2">
        <f t="shared" si="1"/>
        <v>1.0869565217391304E-2</v>
      </c>
    </row>
    <row r="43" spans="1:19" x14ac:dyDescent="0.25">
      <c r="A43" s="245"/>
      <c r="B43" s="252"/>
      <c r="C43" s="252"/>
      <c r="D43" s="228"/>
      <c r="E43" s="252"/>
      <c r="F43" s="223"/>
      <c r="G43" s="224"/>
      <c r="H43" s="254"/>
      <c r="I43" s="253"/>
      <c r="J43" s="182"/>
      <c r="K43" s="91"/>
      <c r="L43" s="239"/>
      <c r="M43" s="91" t="s">
        <v>590</v>
      </c>
      <c r="N43" s="91">
        <v>100</v>
      </c>
      <c r="O43" s="10">
        <v>8</v>
      </c>
      <c r="P43" s="120"/>
      <c r="Q43" s="120"/>
      <c r="R43" s="120">
        <f t="shared" si="0"/>
        <v>8</v>
      </c>
      <c r="S43" s="2">
        <f t="shared" si="1"/>
        <v>8.6956521739130432E-2</v>
      </c>
    </row>
    <row r="44" spans="1:19" x14ac:dyDescent="0.25">
      <c r="A44" s="48">
        <v>5</v>
      </c>
      <c r="B44" s="252"/>
      <c r="C44" s="252"/>
      <c r="D44" s="228"/>
      <c r="E44" s="252"/>
      <c r="F44" s="223" t="s">
        <v>591</v>
      </c>
      <c r="G44" s="224"/>
      <c r="H44" s="254"/>
      <c r="I44" s="253"/>
      <c r="J44" s="182"/>
      <c r="K44" s="91"/>
      <c r="L44" s="14">
        <v>0.01</v>
      </c>
      <c r="M44" s="91" t="s">
        <v>592</v>
      </c>
      <c r="N44" s="91">
        <v>630</v>
      </c>
      <c r="O44" s="10">
        <v>7.3</v>
      </c>
      <c r="P44" s="120"/>
      <c r="Q44" s="120"/>
      <c r="R44" s="120">
        <f t="shared" si="0"/>
        <v>7.3</v>
      </c>
      <c r="S44" s="2">
        <f t="shared" si="1"/>
        <v>1.2594893029675638E-2</v>
      </c>
    </row>
    <row r="45" spans="1:19" x14ac:dyDescent="0.25">
      <c r="A45" s="244">
        <v>6</v>
      </c>
      <c r="B45" s="252"/>
      <c r="C45" s="252"/>
      <c r="D45" s="228"/>
      <c r="E45" s="252"/>
      <c r="F45" s="221" t="s">
        <v>593</v>
      </c>
      <c r="G45" s="222"/>
      <c r="H45" s="254"/>
      <c r="I45" s="253"/>
      <c r="J45" s="182"/>
      <c r="K45" s="91"/>
      <c r="L45" s="238">
        <v>0.45900000000000002</v>
      </c>
      <c r="M45" s="91" t="s">
        <v>594</v>
      </c>
      <c r="N45" s="91">
        <f>2*160</f>
        <v>320</v>
      </c>
      <c r="O45" s="10">
        <v>61.4</v>
      </c>
      <c r="P45" s="120"/>
      <c r="Q45" s="120"/>
      <c r="R45" s="120">
        <f t="shared" si="0"/>
        <v>61.4</v>
      </c>
      <c r="S45" s="2">
        <f t="shared" si="1"/>
        <v>0.20855978260869562</v>
      </c>
    </row>
    <row r="46" spans="1:19" x14ac:dyDescent="0.25">
      <c r="A46" s="245"/>
      <c r="B46" s="252"/>
      <c r="C46" s="252"/>
      <c r="D46" s="228"/>
      <c r="E46" s="252"/>
      <c r="F46" s="221"/>
      <c r="G46" s="222"/>
      <c r="H46" s="254"/>
      <c r="I46" s="253"/>
      <c r="J46" s="182"/>
      <c r="K46" s="91"/>
      <c r="L46" s="239"/>
      <c r="M46" s="91" t="s">
        <v>595</v>
      </c>
      <c r="N46" s="3">
        <f>2*400</f>
        <v>800</v>
      </c>
      <c r="O46" s="10">
        <v>199.8</v>
      </c>
      <c r="P46" s="120"/>
      <c r="Q46" s="120">
        <v>15</v>
      </c>
      <c r="R46" s="120">
        <f t="shared" si="0"/>
        <v>214.8</v>
      </c>
      <c r="S46" s="2">
        <f t="shared" si="1"/>
        <v>0.29184782608695653</v>
      </c>
    </row>
    <row r="47" spans="1:19" x14ac:dyDescent="0.25">
      <c r="A47" s="48">
        <v>7</v>
      </c>
      <c r="B47" s="252"/>
      <c r="C47" s="252"/>
      <c r="D47" s="252"/>
      <c r="E47" s="252"/>
      <c r="F47" s="219" t="s">
        <v>596</v>
      </c>
      <c r="G47" s="220"/>
      <c r="H47" s="254"/>
      <c r="I47" s="253"/>
      <c r="J47" s="182"/>
      <c r="K47" s="91"/>
      <c r="L47" s="14">
        <v>0.36099999999999999</v>
      </c>
      <c r="M47" s="91" t="s">
        <v>597</v>
      </c>
      <c r="N47" s="3">
        <f>2*250</f>
        <v>500</v>
      </c>
      <c r="O47" s="91">
        <v>113.2</v>
      </c>
      <c r="P47" s="122"/>
      <c r="Q47" s="122">
        <f>5+10+15</f>
        <v>30</v>
      </c>
      <c r="R47" s="120">
        <f t="shared" si="0"/>
        <v>143.19999999999999</v>
      </c>
      <c r="S47" s="2">
        <f t="shared" si="1"/>
        <v>0.31130434782608696</v>
      </c>
    </row>
    <row r="48" spans="1:19" x14ac:dyDescent="0.25">
      <c r="A48" s="244">
        <v>8</v>
      </c>
      <c r="B48" s="252"/>
      <c r="C48" s="252"/>
      <c r="D48" s="252"/>
      <c r="E48" s="252"/>
      <c r="F48" s="219" t="s">
        <v>598</v>
      </c>
      <c r="G48" s="220"/>
      <c r="H48" s="254"/>
      <c r="I48" s="253"/>
      <c r="J48" s="182"/>
      <c r="K48" s="91"/>
      <c r="L48" s="238">
        <v>0.48</v>
      </c>
      <c r="M48" s="91" t="s">
        <v>599</v>
      </c>
      <c r="N48" s="3">
        <f t="shared" ref="N48:N49" si="4">2*400</f>
        <v>800</v>
      </c>
      <c r="O48" s="91">
        <v>113.7</v>
      </c>
      <c r="P48" s="122"/>
      <c r="Q48" s="122"/>
      <c r="R48" s="120">
        <f t="shared" si="0"/>
        <v>113.7</v>
      </c>
      <c r="S48" s="2">
        <f t="shared" si="1"/>
        <v>0.15448369565217393</v>
      </c>
    </row>
    <row r="49" spans="1:19" x14ac:dyDescent="0.25">
      <c r="A49" s="245"/>
      <c r="B49" s="252"/>
      <c r="C49" s="252"/>
      <c r="D49" s="252"/>
      <c r="E49" s="252"/>
      <c r="F49" s="221"/>
      <c r="G49" s="222"/>
      <c r="H49" s="254"/>
      <c r="I49" s="253"/>
      <c r="J49" s="182"/>
      <c r="K49" s="91"/>
      <c r="L49" s="243"/>
      <c r="M49" s="91" t="s">
        <v>600</v>
      </c>
      <c r="N49" s="3">
        <f t="shared" si="4"/>
        <v>800</v>
      </c>
      <c r="O49" s="91">
        <v>48.9</v>
      </c>
      <c r="P49" s="122"/>
      <c r="Q49" s="122"/>
      <c r="R49" s="120">
        <f t="shared" si="0"/>
        <v>48.9</v>
      </c>
      <c r="S49" s="2">
        <f t="shared" si="1"/>
        <v>6.6440217391304346E-2</v>
      </c>
    </row>
    <row r="50" spans="1:19" x14ac:dyDescent="0.25">
      <c r="A50" s="245"/>
      <c r="B50" s="252"/>
      <c r="C50" s="252"/>
      <c r="D50" s="252"/>
      <c r="E50" s="252"/>
      <c r="F50" s="221"/>
      <c r="G50" s="222"/>
      <c r="H50" s="254"/>
      <c r="I50" s="253"/>
      <c r="J50" s="182"/>
      <c r="K50" s="91"/>
      <c r="L50" s="243"/>
      <c r="M50" s="91" t="s">
        <v>601</v>
      </c>
      <c r="N50" s="91">
        <v>160</v>
      </c>
      <c r="O50" s="91">
        <v>66.5</v>
      </c>
      <c r="P50" s="122"/>
      <c r="Q50" s="122"/>
      <c r="R50" s="120">
        <f t="shared" si="0"/>
        <v>66.5</v>
      </c>
      <c r="S50" s="2">
        <f t="shared" si="1"/>
        <v>0.45176630434782605</v>
      </c>
    </row>
    <row r="51" spans="1:19" x14ac:dyDescent="0.25">
      <c r="A51" s="245"/>
      <c r="B51" s="252"/>
      <c r="C51" s="252"/>
      <c r="D51" s="252"/>
      <c r="E51" s="252"/>
      <c r="F51" s="221"/>
      <c r="G51" s="222"/>
      <c r="H51" s="254"/>
      <c r="I51" s="253"/>
      <c r="J51" s="182"/>
      <c r="K51" s="91"/>
      <c r="L51" s="243"/>
      <c r="M51" s="91" t="s">
        <v>602</v>
      </c>
      <c r="N51" s="91">
        <v>160</v>
      </c>
      <c r="O51" s="91">
        <v>65.7</v>
      </c>
      <c r="P51" s="122"/>
      <c r="Q51" s="122"/>
      <c r="R51" s="120">
        <f t="shared" si="0"/>
        <v>65.7</v>
      </c>
      <c r="S51" s="2">
        <f t="shared" si="1"/>
        <v>0.44633152173913038</v>
      </c>
    </row>
    <row r="52" spans="1:19" x14ac:dyDescent="0.25">
      <c r="A52" s="245"/>
      <c r="B52" s="252"/>
      <c r="C52" s="252"/>
      <c r="D52" s="252"/>
      <c r="E52" s="252"/>
      <c r="F52" s="221"/>
      <c r="G52" s="222"/>
      <c r="H52" s="254"/>
      <c r="I52" s="253"/>
      <c r="J52" s="182"/>
      <c r="K52" s="91"/>
      <c r="L52" s="243"/>
      <c r="M52" s="91" t="s">
        <v>603</v>
      </c>
      <c r="N52" s="91">
        <v>160</v>
      </c>
      <c r="O52" s="91">
        <v>50.5</v>
      </c>
      <c r="P52" s="122"/>
      <c r="Q52" s="122"/>
      <c r="R52" s="120">
        <f t="shared" si="0"/>
        <v>50.5</v>
      </c>
      <c r="S52" s="2">
        <f t="shared" si="1"/>
        <v>0.34307065217391303</v>
      </c>
    </row>
    <row r="53" spans="1:19" x14ac:dyDescent="0.25">
      <c r="A53" s="245"/>
      <c r="B53" s="252"/>
      <c r="C53" s="252"/>
      <c r="D53" s="252"/>
      <c r="E53" s="252"/>
      <c r="F53" s="223"/>
      <c r="G53" s="224"/>
      <c r="H53" s="254"/>
      <c r="I53" s="253"/>
      <c r="J53" s="182"/>
      <c r="K53" s="91"/>
      <c r="L53" s="239"/>
      <c r="M53" s="91" t="s">
        <v>604</v>
      </c>
      <c r="N53" s="91">
        <v>250</v>
      </c>
      <c r="O53" s="91">
        <v>56</v>
      </c>
      <c r="P53" s="122"/>
      <c r="Q53" s="122">
        <f>5</f>
        <v>5</v>
      </c>
      <c r="R53" s="120">
        <f t="shared" si="0"/>
        <v>61</v>
      </c>
      <c r="S53" s="2">
        <f t="shared" si="1"/>
        <v>0.26521739130434785</v>
      </c>
    </row>
    <row r="54" spans="1:19" x14ac:dyDescent="0.25">
      <c r="A54" s="48">
        <v>9</v>
      </c>
      <c r="B54" s="252"/>
      <c r="C54" s="252"/>
      <c r="D54" s="252"/>
      <c r="E54" s="252"/>
      <c r="F54" s="204" t="s">
        <v>605</v>
      </c>
      <c r="G54" s="246"/>
      <c r="H54" s="254"/>
      <c r="I54" s="253"/>
      <c r="J54" s="182"/>
      <c r="K54" s="91"/>
      <c r="L54" s="14">
        <v>0.3</v>
      </c>
      <c r="M54" s="91" t="s">
        <v>606</v>
      </c>
      <c r="N54" s="3">
        <f>2*250</f>
        <v>500</v>
      </c>
      <c r="O54" s="91">
        <v>222.59</v>
      </c>
      <c r="P54" s="122"/>
      <c r="Q54" s="122">
        <f>100</f>
        <v>100</v>
      </c>
      <c r="R54" s="120">
        <f t="shared" si="0"/>
        <v>322.59000000000003</v>
      </c>
      <c r="S54" s="2">
        <f t="shared" si="1"/>
        <v>0.70128260869565229</v>
      </c>
    </row>
    <row r="55" spans="1:19" x14ac:dyDescent="0.25">
      <c r="A55" s="48">
        <v>10</v>
      </c>
      <c r="B55" s="252"/>
      <c r="C55" s="252"/>
      <c r="D55" s="252"/>
      <c r="E55" s="252"/>
      <c r="F55" s="247" t="s">
        <v>607</v>
      </c>
      <c r="G55" s="246"/>
      <c r="H55" s="254"/>
      <c r="I55" s="253"/>
      <c r="J55" s="182"/>
      <c r="K55" s="91"/>
      <c r="L55" s="14">
        <v>0.154</v>
      </c>
      <c r="M55" s="91" t="s">
        <v>608</v>
      </c>
      <c r="N55" s="91">
        <v>400</v>
      </c>
      <c r="O55" s="91">
        <v>121.1</v>
      </c>
      <c r="P55" s="122"/>
      <c r="Q55" s="122"/>
      <c r="R55" s="120">
        <f t="shared" si="0"/>
        <v>121.1</v>
      </c>
      <c r="S55" s="2">
        <f t="shared" si="1"/>
        <v>0.32907608695652174</v>
      </c>
    </row>
    <row r="56" spans="1:19" x14ac:dyDescent="0.25">
      <c r="A56" s="48">
        <v>11</v>
      </c>
      <c r="B56" s="252"/>
      <c r="C56" s="252"/>
      <c r="D56" s="252"/>
      <c r="E56" s="252"/>
      <c r="F56" s="176" t="s">
        <v>609</v>
      </c>
      <c r="G56" s="246"/>
      <c r="H56" s="254"/>
      <c r="I56" s="253"/>
      <c r="J56" s="182"/>
      <c r="K56" s="91"/>
      <c r="L56" s="243">
        <v>0.53200000000000003</v>
      </c>
      <c r="M56" s="91" t="s">
        <v>610</v>
      </c>
      <c r="N56" s="91">
        <v>30</v>
      </c>
      <c r="O56" s="91">
        <v>15.22</v>
      </c>
      <c r="P56" s="122"/>
      <c r="Q56" s="122"/>
      <c r="R56" s="120">
        <f t="shared" si="0"/>
        <v>15.22</v>
      </c>
      <c r="S56" s="2">
        <f t="shared" si="1"/>
        <v>0.5514492753623188</v>
      </c>
    </row>
    <row r="57" spans="1:19" x14ac:dyDescent="0.25">
      <c r="A57" s="48">
        <v>12</v>
      </c>
      <c r="B57" s="252"/>
      <c r="C57" s="252"/>
      <c r="D57" s="252"/>
      <c r="E57" s="252"/>
      <c r="F57" s="170" t="s">
        <v>611</v>
      </c>
      <c r="G57" s="248"/>
      <c r="H57" s="254"/>
      <c r="I57" s="253"/>
      <c r="J57" s="182"/>
      <c r="K57" s="91"/>
      <c r="L57" s="243"/>
      <c r="M57" s="91" t="s">
        <v>612</v>
      </c>
      <c r="N57" s="91">
        <v>100</v>
      </c>
      <c r="O57" s="91">
        <v>12.69</v>
      </c>
      <c r="P57" s="122"/>
      <c r="Q57" s="122"/>
      <c r="R57" s="120">
        <f t="shared" si="0"/>
        <v>12.69</v>
      </c>
      <c r="S57" s="2">
        <f t="shared" si="1"/>
        <v>0.13793478260869566</v>
      </c>
    </row>
    <row r="58" spans="1:19" x14ac:dyDescent="0.25">
      <c r="A58" s="244">
        <v>13</v>
      </c>
      <c r="B58" s="252"/>
      <c r="C58" s="252"/>
      <c r="D58" s="252"/>
      <c r="E58" s="252"/>
      <c r="F58" s="228" t="s">
        <v>613</v>
      </c>
      <c r="G58" s="228"/>
      <c r="H58" s="254"/>
      <c r="I58" s="253"/>
      <c r="J58" s="182"/>
      <c r="K58" s="91"/>
      <c r="L58" s="243"/>
      <c r="M58" s="91" t="s">
        <v>614</v>
      </c>
      <c r="N58" s="91">
        <v>630</v>
      </c>
      <c r="O58" s="91">
        <v>70.349999999999994</v>
      </c>
      <c r="P58" s="122"/>
      <c r="Q58" s="122">
        <f>35</f>
        <v>35</v>
      </c>
      <c r="R58" s="120">
        <f t="shared" si="0"/>
        <v>105.35</v>
      </c>
      <c r="S58" s="2">
        <f t="shared" si="1"/>
        <v>0.18176328502415456</v>
      </c>
    </row>
    <row r="59" spans="1:19" x14ac:dyDescent="0.25">
      <c r="A59" s="245"/>
      <c r="B59" s="252"/>
      <c r="C59" s="252"/>
      <c r="D59" s="252"/>
      <c r="E59" s="252"/>
      <c r="F59" s="228"/>
      <c r="G59" s="228"/>
      <c r="H59" s="254"/>
      <c r="I59" s="253"/>
      <c r="J59" s="182"/>
      <c r="K59" s="91"/>
      <c r="L59" s="243"/>
      <c r="M59" s="91" t="s">
        <v>615</v>
      </c>
      <c r="N59" s="160">
        <f>2*160</f>
        <v>320</v>
      </c>
      <c r="O59" s="91">
        <v>32.06</v>
      </c>
      <c r="P59" s="122"/>
      <c r="Q59" s="122"/>
      <c r="R59" s="120">
        <f t="shared" si="0"/>
        <v>32.06</v>
      </c>
      <c r="S59" s="2">
        <f t="shared" si="1"/>
        <v>0.10889945652173913</v>
      </c>
    </row>
    <row r="60" spans="1:19" x14ac:dyDescent="0.25">
      <c r="A60" s="245"/>
      <c r="B60" s="252"/>
      <c r="C60" s="252"/>
      <c r="D60" s="252"/>
      <c r="E60" s="252"/>
      <c r="F60" s="228"/>
      <c r="G60" s="228"/>
      <c r="H60" s="254"/>
      <c r="I60" s="253"/>
      <c r="J60" s="182"/>
      <c r="K60" s="91"/>
      <c r="L60" s="243"/>
      <c r="M60" s="91" t="s">
        <v>616</v>
      </c>
      <c r="N60" s="91">
        <v>250</v>
      </c>
      <c r="O60" s="91">
        <v>26.99</v>
      </c>
      <c r="P60" s="122"/>
      <c r="Q60" s="122"/>
      <c r="R60" s="120">
        <f t="shared" si="0"/>
        <v>26.99</v>
      </c>
      <c r="S60" s="2">
        <f t="shared" si="1"/>
        <v>0.11734782608695651</v>
      </c>
    </row>
    <row r="61" spans="1:19" x14ac:dyDescent="0.25">
      <c r="A61" s="245"/>
      <c r="B61" s="252"/>
      <c r="C61" s="252"/>
      <c r="D61" s="252"/>
      <c r="E61" s="252"/>
      <c r="F61" s="228"/>
      <c r="G61" s="228"/>
      <c r="H61" s="254"/>
      <c r="I61" s="253"/>
      <c r="J61" s="182"/>
      <c r="K61" s="91"/>
      <c r="L61" s="243"/>
      <c r="M61" s="91" t="s">
        <v>617</v>
      </c>
      <c r="N61" s="91">
        <v>160</v>
      </c>
      <c r="O61" s="91">
        <v>130.1</v>
      </c>
      <c r="P61" s="122"/>
      <c r="Q61" s="122"/>
      <c r="R61" s="120">
        <f t="shared" si="0"/>
        <v>130.1</v>
      </c>
      <c r="S61" s="2">
        <f t="shared" si="1"/>
        <v>0.88383152173913027</v>
      </c>
    </row>
    <row r="62" spans="1:19" x14ac:dyDescent="0.25">
      <c r="A62" s="245"/>
      <c r="B62" s="252"/>
      <c r="C62" s="252"/>
      <c r="D62" s="252"/>
      <c r="E62" s="252"/>
      <c r="F62" s="228"/>
      <c r="G62" s="228"/>
      <c r="H62" s="254"/>
      <c r="I62" s="253"/>
      <c r="J62" s="182"/>
      <c r="K62" s="91"/>
      <c r="L62" s="243"/>
      <c r="M62" s="91" t="s">
        <v>618</v>
      </c>
      <c r="N62" s="91">
        <v>160</v>
      </c>
      <c r="O62" s="91">
        <v>65.28</v>
      </c>
      <c r="P62" s="122"/>
      <c r="Q62" s="122"/>
      <c r="R62" s="120">
        <f t="shared" si="0"/>
        <v>65.28</v>
      </c>
      <c r="S62" s="2">
        <f t="shared" si="1"/>
        <v>0.44347826086956516</v>
      </c>
    </row>
    <row r="63" spans="1:19" x14ac:dyDescent="0.25">
      <c r="A63" s="245"/>
      <c r="B63" s="252"/>
      <c r="C63" s="252"/>
      <c r="D63" s="252"/>
      <c r="E63" s="252"/>
      <c r="F63" s="228"/>
      <c r="G63" s="228"/>
      <c r="H63" s="254"/>
      <c r="I63" s="253"/>
      <c r="J63" s="182"/>
      <c r="K63" s="91"/>
      <c r="L63" s="243"/>
      <c r="M63" s="91" t="s">
        <v>619</v>
      </c>
      <c r="N63" s="91">
        <v>160</v>
      </c>
      <c r="O63" s="91">
        <v>32.520000000000003</v>
      </c>
      <c r="P63" s="122"/>
      <c r="Q63" s="122"/>
      <c r="R63" s="120">
        <f t="shared" si="0"/>
        <v>32.520000000000003</v>
      </c>
      <c r="S63" s="2">
        <f t="shared" si="1"/>
        <v>0.22092391304347825</v>
      </c>
    </row>
    <row r="64" spans="1:19" x14ac:dyDescent="0.25">
      <c r="A64" s="245"/>
      <c r="B64" s="252"/>
      <c r="C64" s="252"/>
      <c r="D64" s="252"/>
      <c r="E64" s="252"/>
      <c r="F64" s="228"/>
      <c r="G64" s="228"/>
      <c r="H64" s="254"/>
      <c r="I64" s="253"/>
      <c r="J64" s="182"/>
      <c r="K64" s="91"/>
      <c r="L64" s="243"/>
      <c r="M64" s="91" t="s">
        <v>620</v>
      </c>
      <c r="N64" s="91">
        <v>160</v>
      </c>
      <c r="O64" s="91">
        <v>20.3</v>
      </c>
      <c r="P64" s="122"/>
      <c r="Q64" s="122"/>
      <c r="R64" s="120">
        <f t="shared" si="0"/>
        <v>20.3</v>
      </c>
      <c r="S64" s="2">
        <f t="shared" si="1"/>
        <v>0.13790760869565216</v>
      </c>
    </row>
    <row r="65" spans="1:19" x14ac:dyDescent="0.25">
      <c r="A65" s="245"/>
      <c r="B65" s="252"/>
      <c r="C65" s="252"/>
      <c r="D65" s="252"/>
      <c r="E65" s="252"/>
      <c r="F65" s="228"/>
      <c r="G65" s="228"/>
      <c r="H65" s="254"/>
      <c r="I65" s="253"/>
      <c r="J65" s="182"/>
      <c r="K65" s="91"/>
      <c r="L65" s="243"/>
      <c r="M65" s="91" t="s">
        <v>621</v>
      </c>
      <c r="N65" s="91">
        <v>160</v>
      </c>
      <c r="O65" s="91">
        <v>18.68</v>
      </c>
      <c r="P65" s="122"/>
      <c r="Q65" s="122"/>
      <c r="R65" s="120">
        <f t="shared" si="0"/>
        <v>18.68</v>
      </c>
      <c r="S65" s="2">
        <f t="shared" si="1"/>
        <v>0.12690217391304345</v>
      </c>
    </row>
    <row r="66" spans="1:19" x14ac:dyDescent="0.25">
      <c r="A66" s="245"/>
      <c r="B66" s="252"/>
      <c r="C66" s="252"/>
      <c r="D66" s="252"/>
      <c r="E66" s="252"/>
      <c r="F66" s="228"/>
      <c r="G66" s="228"/>
      <c r="H66" s="255"/>
      <c r="I66" s="256"/>
      <c r="J66" s="183"/>
      <c r="K66" s="91"/>
      <c r="L66" s="239"/>
      <c r="M66" s="91" t="s">
        <v>622</v>
      </c>
      <c r="N66" s="91">
        <v>250</v>
      </c>
      <c r="O66" s="91">
        <v>76.81</v>
      </c>
      <c r="P66" s="122"/>
      <c r="Q66" s="122">
        <f>110</f>
        <v>110</v>
      </c>
      <c r="R66" s="120">
        <f t="shared" si="0"/>
        <v>186.81</v>
      </c>
      <c r="S66" s="2">
        <f t="shared" si="1"/>
        <v>0.81221739130434789</v>
      </c>
    </row>
    <row r="67" spans="1:19" x14ac:dyDescent="0.25">
      <c r="A67" s="244">
        <v>14</v>
      </c>
      <c r="B67" s="169" t="s">
        <v>544</v>
      </c>
      <c r="C67" s="169" t="s">
        <v>274</v>
      </c>
      <c r="D67" s="228" t="s">
        <v>275</v>
      </c>
      <c r="E67" s="169"/>
      <c r="F67" s="221" t="s">
        <v>623</v>
      </c>
      <c r="G67" s="253"/>
      <c r="H67" s="170" t="s">
        <v>555</v>
      </c>
      <c r="I67" s="248"/>
      <c r="J67" s="181">
        <v>3.5</v>
      </c>
      <c r="K67" s="91"/>
      <c r="L67" s="238">
        <v>0.48</v>
      </c>
      <c r="M67" s="91" t="s">
        <v>624</v>
      </c>
      <c r="N67" s="3">
        <f t="shared" ref="N67:N68" si="5">2*400</f>
        <v>800</v>
      </c>
      <c r="O67" s="91">
        <v>53</v>
      </c>
      <c r="P67" s="122"/>
      <c r="Q67" s="122"/>
      <c r="R67" s="120">
        <f t="shared" si="0"/>
        <v>53</v>
      </c>
      <c r="S67" s="2">
        <f t="shared" si="1"/>
        <v>7.2010869565217392E-2</v>
      </c>
    </row>
    <row r="68" spans="1:19" x14ac:dyDescent="0.25">
      <c r="A68" s="245"/>
      <c r="B68" s="252"/>
      <c r="C68" s="252"/>
      <c r="D68" s="228"/>
      <c r="E68" s="252"/>
      <c r="F68" s="254"/>
      <c r="G68" s="253"/>
      <c r="H68" s="254"/>
      <c r="I68" s="253"/>
      <c r="J68" s="182"/>
      <c r="K68" s="91"/>
      <c r="L68" s="243"/>
      <c r="M68" s="91" t="s">
        <v>625</v>
      </c>
      <c r="N68" s="3">
        <f t="shared" si="5"/>
        <v>800</v>
      </c>
      <c r="O68" s="91">
        <v>31</v>
      </c>
      <c r="P68" s="122"/>
      <c r="Q68" s="122"/>
      <c r="R68" s="120">
        <f t="shared" si="0"/>
        <v>31</v>
      </c>
      <c r="S68" s="2">
        <f t="shared" si="1"/>
        <v>4.2119565217391304E-2</v>
      </c>
    </row>
    <row r="69" spans="1:19" x14ac:dyDescent="0.25">
      <c r="A69" s="245"/>
      <c r="B69" s="252"/>
      <c r="C69" s="252"/>
      <c r="D69" s="228"/>
      <c r="E69" s="252"/>
      <c r="F69" s="254"/>
      <c r="G69" s="253"/>
      <c r="H69" s="254"/>
      <c r="I69" s="253"/>
      <c r="J69" s="182"/>
      <c r="K69" s="91"/>
      <c r="L69" s="243"/>
      <c r="M69" s="91" t="s">
        <v>626</v>
      </c>
      <c r="N69" s="91">
        <v>400</v>
      </c>
      <c r="O69" s="91">
        <v>41.9</v>
      </c>
      <c r="P69" s="122"/>
      <c r="Q69" s="122"/>
      <c r="R69" s="120">
        <f t="shared" si="0"/>
        <v>41.9</v>
      </c>
      <c r="S69" s="2">
        <f t="shared" si="1"/>
        <v>0.11385869565217391</v>
      </c>
    </row>
    <row r="70" spans="1:19" x14ac:dyDescent="0.25">
      <c r="A70" s="245"/>
      <c r="B70" s="252"/>
      <c r="C70" s="252"/>
      <c r="D70" s="228"/>
      <c r="E70" s="252"/>
      <c r="F70" s="254"/>
      <c r="G70" s="253"/>
      <c r="H70" s="254"/>
      <c r="I70" s="253"/>
      <c r="J70" s="182"/>
      <c r="K70" s="91"/>
      <c r="L70" s="243"/>
      <c r="M70" s="91" t="s">
        <v>627</v>
      </c>
      <c r="N70" s="91">
        <v>250</v>
      </c>
      <c r="O70" s="91">
        <v>38.200000000000003</v>
      </c>
      <c r="P70" s="122"/>
      <c r="Q70" s="122"/>
      <c r="R70" s="120">
        <f t="shared" si="0"/>
        <v>38.200000000000003</v>
      </c>
      <c r="S70" s="2">
        <f t="shared" si="1"/>
        <v>0.16608695652173913</v>
      </c>
    </row>
    <row r="71" spans="1:19" x14ac:dyDescent="0.25">
      <c r="A71" s="245"/>
      <c r="B71" s="252"/>
      <c r="C71" s="252"/>
      <c r="D71" s="228"/>
      <c r="E71" s="252"/>
      <c r="F71" s="255"/>
      <c r="G71" s="256"/>
      <c r="H71" s="254"/>
      <c r="I71" s="253"/>
      <c r="J71" s="182"/>
      <c r="K71" s="91"/>
      <c r="L71" s="239"/>
      <c r="M71" s="91" t="s">
        <v>628</v>
      </c>
      <c r="N71" s="91">
        <v>400</v>
      </c>
      <c r="O71" s="91">
        <v>48.9</v>
      </c>
      <c r="P71" s="122"/>
      <c r="Q71" s="122"/>
      <c r="R71" s="120">
        <f t="shared" si="0"/>
        <v>48.9</v>
      </c>
      <c r="S71" s="2">
        <f t="shared" si="1"/>
        <v>0.13288043478260869</v>
      </c>
    </row>
    <row r="72" spans="1:19" x14ac:dyDescent="0.25">
      <c r="A72" s="249">
        <v>15</v>
      </c>
      <c r="B72" s="252"/>
      <c r="C72" s="252"/>
      <c r="D72" s="228"/>
      <c r="E72" s="252"/>
      <c r="F72" s="221" t="s">
        <v>629</v>
      </c>
      <c r="G72" s="222"/>
      <c r="H72" s="254"/>
      <c r="I72" s="253"/>
      <c r="J72" s="182"/>
      <c r="K72" s="91"/>
      <c r="L72" s="238">
        <v>0.57599999999999996</v>
      </c>
      <c r="M72" s="91" t="s">
        <v>630</v>
      </c>
      <c r="N72" s="91">
        <v>250</v>
      </c>
      <c r="O72" s="91">
        <v>26.04</v>
      </c>
      <c r="P72" s="122"/>
      <c r="Q72" s="122"/>
      <c r="R72" s="120">
        <f t="shared" si="0"/>
        <v>26.04</v>
      </c>
      <c r="S72" s="2">
        <f t="shared" si="1"/>
        <v>0.11321739130434783</v>
      </c>
    </row>
    <row r="73" spans="1:19" x14ac:dyDescent="0.25">
      <c r="A73" s="250"/>
      <c r="B73" s="252"/>
      <c r="C73" s="252"/>
      <c r="D73" s="228"/>
      <c r="E73" s="252"/>
      <c r="F73" s="221"/>
      <c r="G73" s="222"/>
      <c r="H73" s="254"/>
      <c r="I73" s="253"/>
      <c r="J73" s="182"/>
      <c r="K73" s="91"/>
      <c r="L73" s="243"/>
      <c r="M73" s="91" t="s">
        <v>631</v>
      </c>
      <c r="N73" s="91">
        <v>400</v>
      </c>
      <c r="O73" s="91">
        <v>78.77</v>
      </c>
      <c r="P73" s="122"/>
      <c r="Q73" s="122"/>
      <c r="R73" s="120">
        <f t="shared" si="0"/>
        <v>78.77</v>
      </c>
      <c r="S73" s="2">
        <f t="shared" si="1"/>
        <v>0.21404891304347826</v>
      </c>
    </row>
    <row r="74" spans="1:19" x14ac:dyDescent="0.25">
      <c r="A74" s="250"/>
      <c r="B74" s="252"/>
      <c r="C74" s="252"/>
      <c r="D74" s="228"/>
      <c r="E74" s="252"/>
      <c r="F74" s="221"/>
      <c r="G74" s="222"/>
      <c r="H74" s="254"/>
      <c r="I74" s="253"/>
      <c r="J74" s="182"/>
      <c r="K74" s="91"/>
      <c r="L74" s="243"/>
      <c r="M74" s="91" t="s">
        <v>632</v>
      </c>
      <c r="N74" s="3">
        <f>2*400</f>
        <v>800</v>
      </c>
      <c r="O74" s="91">
        <v>18.02</v>
      </c>
      <c r="P74" s="122"/>
      <c r="Q74" s="122"/>
      <c r="R74" s="120">
        <f t="shared" si="0"/>
        <v>18.02</v>
      </c>
      <c r="S74" s="2">
        <f t="shared" si="1"/>
        <v>2.4483695652173912E-2</v>
      </c>
    </row>
    <row r="75" spans="1:19" x14ac:dyDescent="0.25">
      <c r="A75" s="250"/>
      <c r="B75" s="252"/>
      <c r="C75" s="252"/>
      <c r="D75" s="228"/>
      <c r="E75" s="252"/>
      <c r="F75" s="221"/>
      <c r="G75" s="222"/>
      <c r="H75" s="254"/>
      <c r="I75" s="253"/>
      <c r="J75" s="182"/>
      <c r="K75" s="91"/>
      <c r="L75" s="243"/>
      <c r="M75" s="91" t="s">
        <v>633</v>
      </c>
      <c r="N75" s="91">
        <v>400</v>
      </c>
      <c r="O75" s="91">
        <v>86.06</v>
      </c>
      <c r="P75" s="122"/>
      <c r="Q75" s="122"/>
      <c r="R75" s="120">
        <f t="shared" si="0"/>
        <v>86.06</v>
      </c>
      <c r="S75" s="2">
        <f t="shared" si="1"/>
        <v>0.23385869565217393</v>
      </c>
    </row>
    <row r="76" spans="1:19" x14ac:dyDescent="0.25">
      <c r="A76" s="250"/>
      <c r="B76" s="252"/>
      <c r="C76" s="252"/>
      <c r="D76" s="228"/>
      <c r="E76" s="252"/>
      <c r="F76" s="221"/>
      <c r="G76" s="222"/>
      <c r="H76" s="254"/>
      <c r="I76" s="253"/>
      <c r="J76" s="182"/>
      <c r="K76" s="91"/>
      <c r="L76" s="243"/>
      <c r="M76" s="91" t="s">
        <v>634</v>
      </c>
      <c r="N76" s="91">
        <v>630</v>
      </c>
      <c r="O76" s="91">
        <v>68.599999999999994</v>
      </c>
      <c r="P76" s="122"/>
      <c r="Q76" s="122"/>
      <c r="R76" s="120">
        <f t="shared" si="0"/>
        <v>68.599999999999994</v>
      </c>
      <c r="S76" s="2">
        <f t="shared" si="1"/>
        <v>0.1183574879227053</v>
      </c>
    </row>
    <row r="77" spans="1:19" x14ac:dyDescent="0.25">
      <c r="A77" s="250"/>
      <c r="B77" s="252"/>
      <c r="C77" s="252"/>
      <c r="D77" s="228"/>
      <c r="E77" s="252"/>
      <c r="F77" s="221"/>
      <c r="G77" s="222"/>
      <c r="H77" s="254"/>
      <c r="I77" s="253"/>
      <c r="J77" s="182"/>
      <c r="K77" s="91"/>
      <c r="L77" s="243"/>
      <c r="M77" s="91" t="s">
        <v>635</v>
      </c>
      <c r="N77" s="91">
        <v>400</v>
      </c>
      <c r="O77" s="91">
        <v>53</v>
      </c>
      <c r="P77" s="122"/>
      <c r="Q77" s="122"/>
      <c r="R77" s="120">
        <f t="shared" ref="R77:R133" si="6">O77+P77+Q77</f>
        <v>53</v>
      </c>
      <c r="S77" s="2">
        <f t="shared" ref="S77:S108" si="7">R77/(N77*0.92)</f>
        <v>0.14402173913043478</v>
      </c>
    </row>
    <row r="78" spans="1:19" x14ac:dyDescent="0.25">
      <c r="A78" s="251"/>
      <c r="B78" s="252"/>
      <c r="C78" s="252"/>
      <c r="D78" s="228"/>
      <c r="E78" s="252"/>
      <c r="F78" s="223"/>
      <c r="G78" s="224"/>
      <c r="H78" s="254"/>
      <c r="I78" s="253"/>
      <c r="J78" s="182"/>
      <c r="K78" s="91"/>
      <c r="L78" s="239"/>
      <c r="M78" s="91" t="s">
        <v>636</v>
      </c>
      <c r="N78" s="91">
        <v>400</v>
      </c>
      <c r="O78" s="91">
        <v>69.7</v>
      </c>
      <c r="P78" s="122"/>
      <c r="Q78" s="122">
        <f>14</f>
        <v>14</v>
      </c>
      <c r="R78" s="120">
        <f t="shared" si="6"/>
        <v>83.7</v>
      </c>
      <c r="S78" s="2">
        <f t="shared" si="7"/>
        <v>0.22744565217391305</v>
      </c>
    </row>
    <row r="79" spans="1:19" x14ac:dyDescent="0.25">
      <c r="A79" s="244">
        <v>16</v>
      </c>
      <c r="B79" s="252"/>
      <c r="C79" s="252"/>
      <c r="D79" s="228"/>
      <c r="E79" s="252"/>
      <c r="F79" s="221" t="s">
        <v>637</v>
      </c>
      <c r="G79" s="222"/>
      <c r="H79" s="254"/>
      <c r="I79" s="253"/>
      <c r="J79" s="182"/>
      <c r="K79" s="91"/>
      <c r="L79" s="238">
        <v>7.1999999999999995E-2</v>
      </c>
      <c r="M79" s="91" t="s">
        <v>638</v>
      </c>
      <c r="N79" s="91">
        <v>250</v>
      </c>
      <c r="O79" s="91">
        <v>18</v>
      </c>
      <c r="P79" s="122"/>
      <c r="Q79" s="122"/>
      <c r="R79" s="120">
        <f t="shared" si="6"/>
        <v>18</v>
      </c>
      <c r="S79" s="2">
        <f t="shared" si="7"/>
        <v>7.8260869565217397E-2</v>
      </c>
    </row>
    <row r="80" spans="1:19" x14ac:dyDescent="0.25">
      <c r="A80" s="245"/>
      <c r="B80" s="252"/>
      <c r="C80" s="252"/>
      <c r="D80" s="228"/>
      <c r="E80" s="252"/>
      <c r="F80" s="223"/>
      <c r="G80" s="224"/>
      <c r="H80" s="254"/>
      <c r="I80" s="253"/>
      <c r="J80" s="182"/>
      <c r="K80" s="91"/>
      <c r="L80" s="239"/>
      <c r="M80" s="91" t="s">
        <v>639</v>
      </c>
      <c r="N80" s="3">
        <f>2*400</f>
        <v>800</v>
      </c>
      <c r="O80" s="91">
        <v>36.5</v>
      </c>
      <c r="P80" s="122"/>
      <c r="Q80" s="122"/>
      <c r="R80" s="120">
        <f t="shared" si="6"/>
        <v>36.5</v>
      </c>
      <c r="S80" s="2">
        <f t="shared" si="7"/>
        <v>4.9592391304347824E-2</v>
      </c>
    </row>
    <row r="81" spans="1:19" x14ac:dyDescent="0.25">
      <c r="A81" s="244">
        <v>17</v>
      </c>
      <c r="B81" s="252"/>
      <c r="C81" s="252"/>
      <c r="D81" s="228"/>
      <c r="E81" s="252"/>
      <c r="F81" s="221" t="s">
        <v>640</v>
      </c>
      <c r="G81" s="222"/>
      <c r="H81" s="254"/>
      <c r="I81" s="253"/>
      <c r="J81" s="182"/>
      <c r="K81" s="91"/>
      <c r="L81" s="238">
        <v>0.57599999999999996</v>
      </c>
      <c r="M81" s="91" t="s">
        <v>641</v>
      </c>
      <c r="N81" s="91">
        <v>630</v>
      </c>
      <c r="O81" s="91">
        <v>121.88</v>
      </c>
      <c r="P81" s="122"/>
      <c r="Q81" s="122"/>
      <c r="R81" s="120">
        <f t="shared" si="6"/>
        <v>121.88</v>
      </c>
      <c r="S81" s="2">
        <f t="shared" si="7"/>
        <v>0.21028295376121461</v>
      </c>
    </row>
    <row r="82" spans="1:19" x14ac:dyDescent="0.25">
      <c r="A82" s="245"/>
      <c r="B82" s="252"/>
      <c r="C82" s="252"/>
      <c r="D82" s="228"/>
      <c r="E82" s="252"/>
      <c r="F82" s="221"/>
      <c r="G82" s="222"/>
      <c r="H82" s="254"/>
      <c r="I82" s="253"/>
      <c r="J82" s="182"/>
      <c r="K82" s="91"/>
      <c r="L82" s="243"/>
      <c r="M82" s="91" t="s">
        <v>642</v>
      </c>
      <c r="N82" s="91">
        <v>250</v>
      </c>
      <c r="O82" s="91">
        <v>37.299999999999997</v>
      </c>
      <c r="P82" s="122"/>
      <c r="Q82" s="122"/>
      <c r="R82" s="120">
        <f t="shared" si="6"/>
        <v>37.299999999999997</v>
      </c>
      <c r="S82" s="2">
        <f t="shared" si="7"/>
        <v>0.16217391304347825</v>
      </c>
    </row>
    <row r="83" spans="1:19" x14ac:dyDescent="0.25">
      <c r="A83" s="245"/>
      <c r="B83" s="252"/>
      <c r="C83" s="252"/>
      <c r="D83" s="228"/>
      <c r="E83" s="252"/>
      <c r="F83" s="221"/>
      <c r="G83" s="222"/>
      <c r="H83" s="254"/>
      <c r="I83" s="253"/>
      <c r="J83" s="182"/>
      <c r="K83" s="91"/>
      <c r="L83" s="243"/>
      <c r="M83" s="91" t="s">
        <v>643</v>
      </c>
      <c r="N83" s="91">
        <v>250</v>
      </c>
      <c r="O83" s="91">
        <v>56.2</v>
      </c>
      <c r="P83" s="122"/>
      <c r="Q83" s="122"/>
      <c r="R83" s="120">
        <f t="shared" si="6"/>
        <v>56.2</v>
      </c>
      <c r="S83" s="2">
        <f t="shared" si="7"/>
        <v>0.24434782608695654</v>
      </c>
    </row>
    <row r="84" spans="1:19" x14ac:dyDescent="0.25">
      <c r="A84" s="245"/>
      <c r="B84" s="252"/>
      <c r="C84" s="252"/>
      <c r="D84" s="228"/>
      <c r="E84" s="252"/>
      <c r="F84" s="221"/>
      <c r="G84" s="222"/>
      <c r="H84" s="254"/>
      <c r="I84" s="253"/>
      <c r="J84" s="182"/>
      <c r="K84" s="91"/>
      <c r="L84" s="243"/>
      <c r="M84" s="91" t="s">
        <v>644</v>
      </c>
      <c r="N84" s="91">
        <v>400</v>
      </c>
      <c r="O84" s="91">
        <v>65.8</v>
      </c>
      <c r="P84" s="122"/>
      <c r="Q84" s="122"/>
      <c r="R84" s="120">
        <f t="shared" si="6"/>
        <v>65.8</v>
      </c>
      <c r="S84" s="2">
        <f t="shared" si="7"/>
        <v>0.17880434782608695</v>
      </c>
    </row>
    <row r="85" spans="1:19" x14ac:dyDescent="0.25">
      <c r="A85" s="245"/>
      <c r="B85" s="252"/>
      <c r="C85" s="252"/>
      <c r="D85" s="228"/>
      <c r="E85" s="252"/>
      <c r="F85" s="223"/>
      <c r="G85" s="224"/>
      <c r="H85" s="254"/>
      <c r="I85" s="253"/>
      <c r="J85" s="182"/>
      <c r="K85" s="91"/>
      <c r="L85" s="243"/>
      <c r="M85" s="91" t="s">
        <v>645</v>
      </c>
      <c r="N85" s="91">
        <v>1000</v>
      </c>
      <c r="O85" s="91">
        <v>137.6</v>
      </c>
      <c r="P85" s="122"/>
      <c r="Q85" s="122"/>
      <c r="R85" s="120">
        <f t="shared" si="6"/>
        <v>137.6</v>
      </c>
      <c r="S85" s="2">
        <f t="shared" si="7"/>
        <v>0.14956521739130435</v>
      </c>
    </row>
    <row r="86" spans="1:19" x14ac:dyDescent="0.25">
      <c r="A86" s="48">
        <v>18</v>
      </c>
      <c r="B86" s="252"/>
      <c r="C86" s="252"/>
      <c r="D86" s="228"/>
      <c r="E86" s="252"/>
      <c r="F86" s="223" t="s">
        <v>646</v>
      </c>
      <c r="G86" s="224"/>
      <c r="H86" s="254"/>
      <c r="I86" s="253"/>
      <c r="J86" s="183"/>
      <c r="K86" s="91"/>
      <c r="L86" s="14">
        <v>0.26400000000000001</v>
      </c>
      <c r="M86" s="91" t="s">
        <v>647</v>
      </c>
      <c r="N86" s="91">
        <v>630</v>
      </c>
      <c r="O86" s="91">
        <v>48.9</v>
      </c>
      <c r="P86" s="122"/>
      <c r="Q86" s="122"/>
      <c r="R86" s="120">
        <f t="shared" si="6"/>
        <v>48.9</v>
      </c>
      <c r="S86" s="2">
        <f t="shared" si="7"/>
        <v>8.4368530020703922E-2</v>
      </c>
    </row>
    <row r="87" spans="1:19" x14ac:dyDescent="0.25">
      <c r="A87" s="48">
        <v>19</v>
      </c>
      <c r="B87" s="252"/>
      <c r="C87" s="252"/>
      <c r="D87" s="228"/>
      <c r="E87" s="252"/>
      <c r="F87" s="228" t="s">
        <v>648</v>
      </c>
      <c r="G87" s="228"/>
      <c r="H87" s="254"/>
      <c r="I87" s="253"/>
      <c r="J87" s="181">
        <v>3.5</v>
      </c>
      <c r="K87" s="91"/>
      <c r="L87" s="14">
        <v>0.27</v>
      </c>
      <c r="M87" s="91" t="s">
        <v>649</v>
      </c>
      <c r="N87" s="91">
        <v>250</v>
      </c>
      <c r="O87" s="91">
        <v>33.5</v>
      </c>
      <c r="P87" s="122"/>
      <c r="Q87" s="122">
        <f>4</f>
        <v>4</v>
      </c>
      <c r="R87" s="120">
        <f t="shared" si="6"/>
        <v>37.5</v>
      </c>
      <c r="S87" s="2">
        <f t="shared" si="7"/>
        <v>0.16304347826086957</v>
      </c>
    </row>
    <row r="88" spans="1:19" x14ac:dyDescent="0.25">
      <c r="A88" s="244">
        <v>20</v>
      </c>
      <c r="B88" s="252"/>
      <c r="C88" s="252"/>
      <c r="D88" s="228"/>
      <c r="E88" s="252"/>
      <c r="F88" s="221" t="s">
        <v>650</v>
      </c>
      <c r="G88" s="222"/>
      <c r="H88" s="254"/>
      <c r="I88" s="253"/>
      <c r="J88" s="182"/>
      <c r="K88" s="91"/>
      <c r="L88" s="238">
        <v>0.57599999999999996</v>
      </c>
      <c r="M88" s="91" t="s">
        <v>651</v>
      </c>
      <c r="N88" s="91">
        <v>630</v>
      </c>
      <c r="O88" s="91">
        <v>125.85</v>
      </c>
      <c r="P88" s="122"/>
      <c r="Q88" s="122"/>
      <c r="R88" s="120">
        <f t="shared" si="6"/>
        <v>125.85</v>
      </c>
      <c r="S88" s="2">
        <f t="shared" si="7"/>
        <v>0.21713250517598343</v>
      </c>
    </row>
    <row r="89" spans="1:19" x14ac:dyDescent="0.25">
      <c r="A89" s="245"/>
      <c r="B89" s="252"/>
      <c r="C89" s="252"/>
      <c r="D89" s="228"/>
      <c r="E89" s="252"/>
      <c r="F89" s="221"/>
      <c r="G89" s="222"/>
      <c r="H89" s="254"/>
      <c r="I89" s="253"/>
      <c r="J89" s="182"/>
      <c r="K89" s="91"/>
      <c r="L89" s="243"/>
      <c r="M89" s="91" t="s">
        <v>652</v>
      </c>
      <c r="N89" s="91">
        <v>630</v>
      </c>
      <c r="O89" s="91">
        <v>78.599999999999994</v>
      </c>
      <c r="P89" s="122"/>
      <c r="Q89" s="122"/>
      <c r="R89" s="120">
        <f t="shared" si="6"/>
        <v>78.599999999999994</v>
      </c>
      <c r="S89" s="2">
        <f t="shared" si="7"/>
        <v>0.13561076604554864</v>
      </c>
    </row>
    <row r="90" spans="1:19" x14ac:dyDescent="0.25">
      <c r="A90" s="245"/>
      <c r="B90" s="252"/>
      <c r="C90" s="252"/>
      <c r="D90" s="228"/>
      <c r="E90" s="252"/>
      <c r="F90" s="221"/>
      <c r="G90" s="222"/>
      <c r="H90" s="254"/>
      <c r="I90" s="253"/>
      <c r="J90" s="182"/>
      <c r="K90" s="91"/>
      <c r="L90" s="243"/>
      <c r="M90" s="91" t="s">
        <v>653</v>
      </c>
      <c r="N90" s="91">
        <v>630</v>
      </c>
      <c r="O90" s="91">
        <v>116.2</v>
      </c>
      <c r="P90" s="122"/>
      <c r="Q90" s="122"/>
      <c r="R90" s="120">
        <f t="shared" si="6"/>
        <v>116.2</v>
      </c>
      <c r="S90" s="2">
        <f t="shared" si="7"/>
        <v>0.20048309178743962</v>
      </c>
    </row>
    <row r="91" spans="1:19" x14ac:dyDescent="0.25">
      <c r="A91" s="245"/>
      <c r="B91" s="252"/>
      <c r="C91" s="252"/>
      <c r="D91" s="228"/>
      <c r="E91" s="252"/>
      <c r="F91" s="221"/>
      <c r="G91" s="222"/>
      <c r="H91" s="254"/>
      <c r="I91" s="253"/>
      <c r="J91" s="182"/>
      <c r="K91" s="91"/>
      <c r="L91" s="243"/>
      <c r="M91" s="91" t="s">
        <v>654</v>
      </c>
      <c r="N91" s="91">
        <v>1000</v>
      </c>
      <c r="O91" s="91">
        <v>42.3</v>
      </c>
      <c r="P91" s="122"/>
      <c r="Q91" s="122"/>
      <c r="R91" s="120">
        <f t="shared" si="6"/>
        <v>42.3</v>
      </c>
      <c r="S91" s="2">
        <f t="shared" si="7"/>
        <v>4.5978260869565211E-2</v>
      </c>
    </row>
    <row r="92" spans="1:19" x14ac:dyDescent="0.25">
      <c r="A92" s="245"/>
      <c r="B92" s="252"/>
      <c r="C92" s="252"/>
      <c r="D92" s="228"/>
      <c r="E92" s="252"/>
      <c r="F92" s="221"/>
      <c r="G92" s="222"/>
      <c r="H92" s="254"/>
      <c r="I92" s="253"/>
      <c r="J92" s="182"/>
      <c r="K92" s="91"/>
      <c r="L92" s="243"/>
      <c r="M92" s="91" t="s">
        <v>655</v>
      </c>
      <c r="N92" s="3">
        <f>2*250</f>
        <v>500</v>
      </c>
      <c r="O92" s="91">
        <v>77.3</v>
      </c>
      <c r="P92" s="122"/>
      <c r="Q92" s="122">
        <f>11</f>
        <v>11</v>
      </c>
      <c r="R92" s="120">
        <f t="shared" si="6"/>
        <v>88.3</v>
      </c>
      <c r="S92" s="2">
        <f t="shared" si="7"/>
        <v>0.19195652173913044</v>
      </c>
    </row>
    <row r="93" spans="1:19" x14ac:dyDescent="0.25">
      <c r="A93" s="245"/>
      <c r="B93" s="252"/>
      <c r="C93" s="252"/>
      <c r="D93" s="228"/>
      <c r="E93" s="252"/>
      <c r="F93" s="223"/>
      <c r="G93" s="224"/>
      <c r="H93" s="254"/>
      <c r="I93" s="253"/>
      <c r="J93" s="182"/>
      <c r="K93" s="91"/>
      <c r="L93" s="239"/>
      <c r="M93" s="91" t="s">
        <v>656</v>
      </c>
      <c r="N93" s="91">
        <v>400</v>
      </c>
      <c r="O93" s="91">
        <v>49.1</v>
      </c>
      <c r="P93" s="122"/>
      <c r="Q93" s="122"/>
      <c r="R93" s="120">
        <f t="shared" si="6"/>
        <v>49.1</v>
      </c>
      <c r="S93" s="2">
        <f t="shared" si="7"/>
        <v>0.13342391304347825</v>
      </c>
    </row>
    <row r="94" spans="1:19" x14ac:dyDescent="0.25">
      <c r="A94" s="249">
        <v>21</v>
      </c>
      <c r="B94" s="252"/>
      <c r="C94" s="252"/>
      <c r="D94" s="228"/>
      <c r="E94" s="252"/>
      <c r="F94" s="228" t="s">
        <v>657</v>
      </c>
      <c r="G94" s="228"/>
      <c r="H94" s="254"/>
      <c r="I94" s="253"/>
      <c r="J94" s="182"/>
      <c r="K94" s="91"/>
      <c r="L94" s="238">
        <v>0.55800000000000005</v>
      </c>
      <c r="M94" s="91" t="s">
        <v>658</v>
      </c>
      <c r="N94" s="91">
        <v>250</v>
      </c>
      <c r="O94" s="91">
        <v>68.510000000000005</v>
      </c>
      <c r="P94" s="122"/>
      <c r="Q94" s="122"/>
      <c r="R94" s="120">
        <f t="shared" si="6"/>
        <v>68.510000000000005</v>
      </c>
      <c r="S94" s="2">
        <f t="shared" si="7"/>
        <v>0.29786956521739133</v>
      </c>
    </row>
    <row r="95" spans="1:19" x14ac:dyDescent="0.25">
      <c r="A95" s="250"/>
      <c r="B95" s="252"/>
      <c r="C95" s="252"/>
      <c r="D95" s="228"/>
      <c r="E95" s="252"/>
      <c r="F95" s="228"/>
      <c r="G95" s="228"/>
      <c r="H95" s="254"/>
      <c r="I95" s="253"/>
      <c r="J95" s="182"/>
      <c r="K95" s="91"/>
      <c r="L95" s="243"/>
      <c r="M95" s="91" t="s">
        <v>659</v>
      </c>
      <c r="N95" s="91">
        <v>630</v>
      </c>
      <c r="O95" s="91">
        <v>47.75</v>
      </c>
      <c r="P95" s="122"/>
      <c r="Q95" s="122"/>
      <c r="R95" s="120">
        <f t="shared" si="6"/>
        <v>47.75</v>
      </c>
      <c r="S95" s="2">
        <f t="shared" si="7"/>
        <v>8.2384403036576945E-2</v>
      </c>
    </row>
    <row r="96" spans="1:19" x14ac:dyDescent="0.25">
      <c r="A96" s="250"/>
      <c r="B96" s="252"/>
      <c r="C96" s="252"/>
      <c r="D96" s="228"/>
      <c r="E96" s="252"/>
      <c r="F96" s="228"/>
      <c r="G96" s="228"/>
      <c r="H96" s="254"/>
      <c r="I96" s="253"/>
      <c r="J96" s="182"/>
      <c r="K96" s="91"/>
      <c r="L96" s="243"/>
      <c r="M96" s="91" t="s">
        <v>660</v>
      </c>
      <c r="N96" s="91">
        <v>630</v>
      </c>
      <c r="O96" s="91">
        <v>111.09</v>
      </c>
      <c r="P96" s="122"/>
      <c r="Q96" s="122">
        <f>30</f>
        <v>30</v>
      </c>
      <c r="R96" s="120">
        <f t="shared" si="6"/>
        <v>141.09</v>
      </c>
      <c r="S96" s="2">
        <f t="shared" si="7"/>
        <v>0.2434265010351967</v>
      </c>
    </row>
    <row r="97" spans="1:19" x14ac:dyDescent="0.25">
      <c r="A97" s="250"/>
      <c r="B97" s="252"/>
      <c r="C97" s="252"/>
      <c r="D97" s="228"/>
      <c r="E97" s="252"/>
      <c r="F97" s="228"/>
      <c r="G97" s="228"/>
      <c r="H97" s="254"/>
      <c r="I97" s="253"/>
      <c r="J97" s="182"/>
      <c r="K97" s="91"/>
      <c r="L97" s="243"/>
      <c r="M97" s="91" t="s">
        <v>661</v>
      </c>
      <c r="N97" s="91">
        <v>1000</v>
      </c>
      <c r="O97" s="91">
        <v>47.86</v>
      </c>
      <c r="P97" s="122"/>
      <c r="Q97" s="122"/>
      <c r="R97" s="120">
        <f t="shared" si="6"/>
        <v>47.86</v>
      </c>
      <c r="S97" s="2">
        <f t="shared" si="7"/>
        <v>5.2021739130434785E-2</v>
      </c>
    </row>
    <row r="98" spans="1:19" x14ac:dyDescent="0.25">
      <c r="A98" s="250"/>
      <c r="B98" s="252"/>
      <c r="C98" s="252"/>
      <c r="D98" s="228"/>
      <c r="E98" s="252"/>
      <c r="F98" s="228"/>
      <c r="G98" s="228"/>
      <c r="H98" s="254"/>
      <c r="I98" s="253"/>
      <c r="J98" s="182"/>
      <c r="K98" s="91"/>
      <c r="L98" s="243"/>
      <c r="M98" s="91" t="s">
        <v>662</v>
      </c>
      <c r="N98" s="91">
        <v>400</v>
      </c>
      <c r="O98" s="91">
        <v>155.63</v>
      </c>
      <c r="P98" s="122"/>
      <c r="Q98" s="122"/>
      <c r="R98" s="120">
        <f t="shared" si="6"/>
        <v>155.63</v>
      </c>
      <c r="S98" s="2">
        <f t="shared" si="7"/>
        <v>0.42290760869565214</v>
      </c>
    </row>
    <row r="99" spans="1:19" x14ac:dyDescent="0.25">
      <c r="A99" s="251"/>
      <c r="B99" s="252"/>
      <c r="C99" s="252"/>
      <c r="D99" s="228"/>
      <c r="E99" s="252"/>
      <c r="F99" s="228"/>
      <c r="G99" s="228"/>
      <c r="H99" s="254"/>
      <c r="I99" s="253"/>
      <c r="J99" s="182"/>
      <c r="K99" s="91"/>
      <c r="L99" s="239"/>
      <c r="M99" s="91" t="s">
        <v>663</v>
      </c>
      <c r="N99" s="91">
        <v>400</v>
      </c>
      <c r="O99" s="91">
        <v>82.35</v>
      </c>
      <c r="P99" s="122"/>
      <c r="Q99" s="122">
        <f>25</f>
        <v>25</v>
      </c>
      <c r="R99" s="120">
        <f t="shared" si="6"/>
        <v>107.35</v>
      </c>
      <c r="S99" s="2">
        <f t="shared" si="7"/>
        <v>0.29171195652173909</v>
      </c>
    </row>
    <row r="100" spans="1:19" x14ac:dyDescent="0.25">
      <c r="A100" s="244">
        <v>22</v>
      </c>
      <c r="B100" s="252"/>
      <c r="C100" s="252"/>
      <c r="D100" s="228"/>
      <c r="E100" s="252"/>
      <c r="F100" s="228" t="s">
        <v>664</v>
      </c>
      <c r="G100" s="228"/>
      <c r="H100" s="254"/>
      <c r="I100" s="253"/>
      <c r="J100" s="182"/>
      <c r="K100" s="91"/>
      <c r="L100" s="238">
        <v>0.312</v>
      </c>
      <c r="M100" s="91" t="s">
        <v>665</v>
      </c>
      <c r="N100" s="91">
        <v>400</v>
      </c>
      <c r="O100" s="91">
        <v>23.85</v>
      </c>
      <c r="P100" s="122"/>
      <c r="Q100" s="122"/>
      <c r="R100" s="120">
        <f t="shared" si="6"/>
        <v>23.85</v>
      </c>
      <c r="S100" s="2">
        <f t="shared" si="7"/>
        <v>6.480978260869566E-2</v>
      </c>
    </row>
    <row r="101" spans="1:19" x14ac:dyDescent="0.25">
      <c r="A101" s="245"/>
      <c r="B101" s="252"/>
      <c r="C101" s="252"/>
      <c r="D101" s="228"/>
      <c r="E101" s="252"/>
      <c r="F101" s="228"/>
      <c r="G101" s="228"/>
      <c r="H101" s="254"/>
      <c r="I101" s="253"/>
      <c r="J101" s="182"/>
      <c r="K101" s="91"/>
      <c r="L101" s="243"/>
      <c r="M101" s="91" t="s">
        <v>666</v>
      </c>
      <c r="N101" s="91">
        <v>250</v>
      </c>
      <c r="O101" s="91">
        <v>32.69</v>
      </c>
      <c r="P101" s="122"/>
      <c r="Q101" s="122"/>
      <c r="R101" s="120">
        <f t="shared" si="6"/>
        <v>32.69</v>
      </c>
      <c r="S101" s="2">
        <f t="shared" si="7"/>
        <v>0.14213043478260867</v>
      </c>
    </row>
    <row r="102" spans="1:19" x14ac:dyDescent="0.25">
      <c r="A102" s="245"/>
      <c r="B102" s="252"/>
      <c r="C102" s="252"/>
      <c r="D102" s="228"/>
      <c r="E102" s="252"/>
      <c r="F102" s="228"/>
      <c r="G102" s="228"/>
      <c r="H102" s="254"/>
      <c r="I102" s="253"/>
      <c r="J102" s="182"/>
      <c r="K102" s="91"/>
      <c r="L102" s="243"/>
      <c r="M102" s="91" t="s">
        <v>667</v>
      </c>
      <c r="N102" s="91">
        <v>400</v>
      </c>
      <c r="O102" s="91">
        <v>59.24</v>
      </c>
      <c r="P102" s="122"/>
      <c r="Q102" s="122"/>
      <c r="R102" s="120">
        <f t="shared" si="6"/>
        <v>59.24</v>
      </c>
      <c r="S102" s="2">
        <f t="shared" si="7"/>
        <v>0.16097826086956521</v>
      </c>
    </row>
    <row r="103" spans="1:19" x14ac:dyDescent="0.25">
      <c r="A103" s="245"/>
      <c r="B103" s="252"/>
      <c r="C103" s="252"/>
      <c r="D103" s="252"/>
      <c r="E103" s="252"/>
      <c r="F103" s="228"/>
      <c r="G103" s="228"/>
      <c r="H103" s="254"/>
      <c r="I103" s="253"/>
      <c r="J103" s="182"/>
      <c r="K103" s="91"/>
      <c r="L103" s="239"/>
      <c r="M103" s="91" t="s">
        <v>668</v>
      </c>
      <c r="N103" s="91">
        <v>400</v>
      </c>
      <c r="O103" s="91">
        <v>63.23</v>
      </c>
      <c r="P103" s="122"/>
      <c r="Q103" s="122"/>
      <c r="R103" s="120">
        <f t="shared" si="6"/>
        <v>63.23</v>
      </c>
      <c r="S103" s="2">
        <f t="shared" si="7"/>
        <v>0.17182065217391304</v>
      </c>
    </row>
    <row r="104" spans="1:19" x14ac:dyDescent="0.25">
      <c r="A104" s="244">
        <v>23</v>
      </c>
      <c r="B104" s="252"/>
      <c r="C104" s="252"/>
      <c r="D104" s="252"/>
      <c r="E104" s="252"/>
      <c r="F104" s="228" t="s">
        <v>669</v>
      </c>
      <c r="G104" s="228"/>
      <c r="H104" s="254"/>
      <c r="I104" s="253"/>
      <c r="J104" s="182"/>
      <c r="K104" s="91"/>
      <c r="L104" s="238">
        <v>0.26300000000000001</v>
      </c>
      <c r="M104" s="91" t="s">
        <v>670</v>
      </c>
      <c r="N104" s="91">
        <v>160</v>
      </c>
      <c r="O104" s="91">
        <v>28.72</v>
      </c>
      <c r="P104" s="122"/>
      <c r="Q104" s="122"/>
      <c r="R104" s="120">
        <f t="shared" si="6"/>
        <v>28.72</v>
      </c>
      <c r="S104" s="2">
        <f t="shared" si="7"/>
        <v>0.19510869565217387</v>
      </c>
    </row>
    <row r="105" spans="1:19" x14ac:dyDescent="0.25">
      <c r="A105" s="245"/>
      <c r="B105" s="252"/>
      <c r="C105" s="252"/>
      <c r="D105" s="252"/>
      <c r="E105" s="252"/>
      <c r="F105" s="228"/>
      <c r="G105" s="228"/>
      <c r="H105" s="254"/>
      <c r="I105" s="253"/>
      <c r="J105" s="182"/>
      <c r="K105" s="91"/>
      <c r="L105" s="243"/>
      <c r="M105" s="91" t="s">
        <v>671</v>
      </c>
      <c r="N105" s="91">
        <v>400</v>
      </c>
      <c r="O105" s="91">
        <v>52.36</v>
      </c>
      <c r="P105" s="122"/>
      <c r="Q105" s="122"/>
      <c r="R105" s="120">
        <f t="shared" si="6"/>
        <v>52.36</v>
      </c>
      <c r="S105" s="2">
        <f t="shared" si="7"/>
        <v>0.14228260869565218</v>
      </c>
    </row>
    <row r="106" spans="1:19" x14ac:dyDescent="0.25">
      <c r="A106" s="245"/>
      <c r="B106" s="252"/>
      <c r="C106" s="252"/>
      <c r="D106" s="252"/>
      <c r="E106" s="252"/>
      <c r="F106" s="228"/>
      <c r="G106" s="228"/>
      <c r="H106" s="254"/>
      <c r="I106" s="253"/>
      <c r="J106" s="182"/>
      <c r="K106" s="91"/>
      <c r="L106" s="243"/>
      <c r="M106" s="91" t="s">
        <v>672</v>
      </c>
      <c r="N106" s="3">
        <f>2*400</f>
        <v>800</v>
      </c>
      <c r="O106" s="91">
        <v>21.6</v>
      </c>
      <c r="P106" s="122"/>
      <c r="Q106" s="122"/>
      <c r="R106" s="120">
        <f t="shared" si="6"/>
        <v>21.6</v>
      </c>
      <c r="S106" s="2">
        <f t="shared" si="7"/>
        <v>2.9347826086956522E-2</v>
      </c>
    </row>
    <row r="107" spans="1:19" x14ac:dyDescent="0.25">
      <c r="A107" s="245"/>
      <c r="B107" s="252"/>
      <c r="C107" s="252"/>
      <c r="D107" s="252"/>
      <c r="E107" s="252"/>
      <c r="F107" s="228"/>
      <c r="G107" s="228"/>
      <c r="H107" s="254"/>
      <c r="I107" s="253"/>
      <c r="J107" s="182"/>
      <c r="K107" s="91"/>
      <c r="L107" s="243"/>
      <c r="M107" s="91" t="s">
        <v>673</v>
      </c>
      <c r="N107" s="3">
        <f t="shared" ref="N107:N108" si="8">2*630</f>
        <v>1260</v>
      </c>
      <c r="O107" s="91">
        <v>26.3</v>
      </c>
      <c r="P107" s="122"/>
      <c r="Q107" s="122"/>
      <c r="R107" s="120">
        <f t="shared" si="6"/>
        <v>26.3</v>
      </c>
      <c r="S107" s="2">
        <f t="shared" si="7"/>
        <v>2.2688060731538992E-2</v>
      </c>
    </row>
    <row r="108" spans="1:19" x14ac:dyDescent="0.25">
      <c r="A108" s="245"/>
      <c r="B108" s="252"/>
      <c r="C108" s="252"/>
      <c r="D108" s="252"/>
      <c r="E108" s="252"/>
      <c r="F108" s="228"/>
      <c r="G108" s="228"/>
      <c r="H108" s="254"/>
      <c r="I108" s="253"/>
      <c r="J108" s="183"/>
      <c r="K108" s="91"/>
      <c r="L108" s="239"/>
      <c r="M108" s="91" t="s">
        <v>674</v>
      </c>
      <c r="N108" s="3">
        <f t="shared" si="8"/>
        <v>1260</v>
      </c>
      <c r="O108" s="91">
        <v>84.3</v>
      </c>
      <c r="P108" s="122"/>
      <c r="Q108" s="122"/>
      <c r="R108" s="120">
        <f t="shared" si="6"/>
        <v>84.3</v>
      </c>
      <c r="S108" s="2">
        <f t="shared" si="7"/>
        <v>7.2722567287784673E-2</v>
      </c>
    </row>
    <row r="109" spans="1:19" hidden="1" x14ac:dyDescent="0.25">
      <c r="A109" s="48">
        <v>24</v>
      </c>
      <c r="B109" s="252"/>
      <c r="C109" s="252"/>
      <c r="D109" s="252"/>
      <c r="E109" s="252"/>
      <c r="F109" s="228" t="s">
        <v>675</v>
      </c>
      <c r="G109" s="228"/>
      <c r="H109" s="254"/>
      <c r="I109" s="253"/>
      <c r="J109" s="181">
        <v>1</v>
      </c>
      <c r="K109" s="91"/>
      <c r="L109" s="14">
        <v>0</v>
      </c>
      <c r="M109" s="91" t="s">
        <v>676</v>
      </c>
      <c r="N109" s="91">
        <v>250</v>
      </c>
      <c r="O109" s="91">
        <v>0</v>
      </c>
      <c r="P109" s="122"/>
      <c r="Q109" s="122"/>
      <c r="R109" s="120">
        <f t="shared" si="6"/>
        <v>0</v>
      </c>
      <c r="S109" s="93">
        <v>0</v>
      </c>
    </row>
    <row r="110" spans="1:19" x14ac:dyDescent="0.25">
      <c r="A110" s="244">
        <v>25</v>
      </c>
      <c r="B110" s="252"/>
      <c r="C110" s="252"/>
      <c r="D110" s="252"/>
      <c r="E110" s="252"/>
      <c r="F110" s="221" t="s">
        <v>677</v>
      </c>
      <c r="G110" s="222"/>
      <c r="H110" s="254"/>
      <c r="I110" s="253"/>
      <c r="J110" s="182"/>
      <c r="K110" s="91"/>
      <c r="L110" s="238">
        <v>0.71599999999999997</v>
      </c>
      <c r="M110" s="91" t="s">
        <v>678</v>
      </c>
      <c r="N110" s="91">
        <v>63</v>
      </c>
      <c r="O110" s="91">
        <v>3.3</v>
      </c>
      <c r="P110" s="122"/>
      <c r="Q110" s="122"/>
      <c r="R110" s="120">
        <f t="shared" si="6"/>
        <v>3.3</v>
      </c>
      <c r="S110" s="2">
        <f t="shared" ref="S110:S114" si="9">R110/(N110*0.92)</f>
        <v>5.6935817805383017E-2</v>
      </c>
    </row>
    <row r="111" spans="1:19" x14ac:dyDescent="0.25">
      <c r="A111" s="245"/>
      <c r="B111" s="252"/>
      <c r="C111" s="252"/>
      <c r="D111" s="252"/>
      <c r="E111" s="252"/>
      <c r="F111" s="221"/>
      <c r="G111" s="222"/>
      <c r="H111" s="254"/>
      <c r="I111" s="253"/>
      <c r="J111" s="182"/>
      <c r="K111" s="91"/>
      <c r="L111" s="243"/>
      <c r="M111" s="91" t="s">
        <v>679</v>
      </c>
      <c r="N111" s="91">
        <v>100</v>
      </c>
      <c r="O111" s="91">
        <v>71.739999999999995</v>
      </c>
      <c r="P111" s="122"/>
      <c r="Q111" s="122"/>
      <c r="R111" s="120">
        <f t="shared" si="6"/>
        <v>71.739999999999995</v>
      </c>
      <c r="S111" s="2">
        <f t="shared" si="9"/>
        <v>0.77978260869565208</v>
      </c>
    </row>
    <row r="112" spans="1:19" x14ac:dyDescent="0.25">
      <c r="A112" s="245"/>
      <c r="B112" s="252"/>
      <c r="C112" s="252"/>
      <c r="D112" s="252"/>
      <c r="E112" s="252"/>
      <c r="F112" s="221"/>
      <c r="G112" s="222"/>
      <c r="H112" s="254"/>
      <c r="I112" s="253"/>
      <c r="J112" s="182"/>
      <c r="K112" s="91"/>
      <c r="L112" s="243"/>
      <c r="M112" s="91" t="s">
        <v>680</v>
      </c>
      <c r="N112" s="91">
        <v>400</v>
      </c>
      <c r="O112" s="91">
        <v>183.84</v>
      </c>
      <c r="P112" s="122"/>
      <c r="Q112" s="122">
        <f>35</f>
        <v>35</v>
      </c>
      <c r="R112" s="120">
        <f t="shared" si="6"/>
        <v>218.84</v>
      </c>
      <c r="S112" s="2">
        <f t="shared" si="9"/>
        <v>0.59467391304347827</v>
      </c>
    </row>
    <row r="113" spans="1:19" x14ac:dyDescent="0.25">
      <c r="A113" s="245"/>
      <c r="B113" s="252"/>
      <c r="C113" s="252"/>
      <c r="D113" s="252"/>
      <c r="E113" s="252"/>
      <c r="F113" s="221"/>
      <c r="G113" s="222"/>
      <c r="H113" s="254"/>
      <c r="I113" s="253"/>
      <c r="J113" s="182"/>
      <c r="K113" s="91"/>
      <c r="L113" s="243"/>
      <c r="M113" s="91" t="s">
        <v>681</v>
      </c>
      <c r="N113" s="91">
        <v>63</v>
      </c>
      <c r="O113" s="91">
        <v>3.94</v>
      </c>
      <c r="P113" s="122"/>
      <c r="Q113" s="122"/>
      <c r="R113" s="120">
        <f t="shared" si="6"/>
        <v>3.94</v>
      </c>
      <c r="S113" s="2">
        <f t="shared" si="9"/>
        <v>6.7977915804002753E-2</v>
      </c>
    </row>
    <row r="114" spans="1:19" x14ac:dyDescent="0.25">
      <c r="A114" s="245"/>
      <c r="B114" s="252"/>
      <c r="C114" s="252"/>
      <c r="D114" s="252"/>
      <c r="E114" s="252"/>
      <c r="F114" s="221"/>
      <c r="G114" s="222"/>
      <c r="H114" s="254"/>
      <c r="I114" s="253"/>
      <c r="J114" s="182"/>
      <c r="K114" s="91"/>
      <c r="L114" s="243"/>
      <c r="M114" s="91" t="s">
        <v>682</v>
      </c>
      <c r="N114" s="91">
        <v>25</v>
      </c>
      <c r="O114" s="91">
        <v>1.85</v>
      </c>
      <c r="P114" s="122"/>
      <c r="Q114" s="122"/>
      <c r="R114" s="120">
        <f t="shared" si="6"/>
        <v>1.85</v>
      </c>
      <c r="S114" s="2">
        <f t="shared" si="9"/>
        <v>8.043478260869566E-2</v>
      </c>
    </row>
    <row r="115" spans="1:19" hidden="1" x14ac:dyDescent="0.25">
      <c r="A115" s="245"/>
      <c r="B115" s="252"/>
      <c r="C115" s="252"/>
      <c r="D115" s="252"/>
      <c r="E115" s="252"/>
      <c r="F115" s="221"/>
      <c r="G115" s="222"/>
      <c r="H115" s="254"/>
      <c r="I115" s="253"/>
      <c r="J115" s="182"/>
      <c r="K115" s="91"/>
      <c r="L115" s="243"/>
      <c r="M115" s="91" t="s">
        <v>683</v>
      </c>
      <c r="N115" s="91">
        <v>400</v>
      </c>
      <c r="O115" s="91">
        <v>0</v>
      </c>
      <c r="P115" s="122"/>
      <c r="Q115" s="122"/>
      <c r="R115" s="120">
        <f t="shared" si="6"/>
        <v>0</v>
      </c>
      <c r="S115" s="93"/>
    </row>
    <row r="116" spans="1:19" x14ac:dyDescent="0.25">
      <c r="A116" s="245"/>
      <c r="B116" s="252"/>
      <c r="C116" s="252"/>
      <c r="D116" s="252"/>
      <c r="E116" s="252"/>
      <c r="F116" s="221"/>
      <c r="G116" s="222"/>
      <c r="H116" s="254"/>
      <c r="I116" s="253"/>
      <c r="J116" s="182"/>
      <c r="K116" s="91"/>
      <c r="L116" s="243"/>
      <c r="M116" s="91" t="s">
        <v>684</v>
      </c>
      <c r="N116" s="91">
        <v>160</v>
      </c>
      <c r="O116" s="91">
        <v>105.65</v>
      </c>
      <c r="P116" s="122"/>
      <c r="Q116" s="122"/>
      <c r="R116" s="120">
        <f t="shared" si="6"/>
        <v>105.65</v>
      </c>
      <c r="S116" s="2">
        <f t="shared" ref="S116:S118" si="10">R116/(N116*0.92)</f>
        <v>0.71773097826086951</v>
      </c>
    </row>
    <row r="117" spans="1:19" x14ac:dyDescent="0.25">
      <c r="A117" s="245"/>
      <c r="B117" s="252"/>
      <c r="C117" s="252"/>
      <c r="D117" s="252"/>
      <c r="E117" s="252"/>
      <c r="F117" s="221"/>
      <c r="G117" s="222"/>
      <c r="H117" s="254"/>
      <c r="I117" s="253"/>
      <c r="J117" s="182"/>
      <c r="K117" s="91"/>
      <c r="L117" s="243"/>
      <c r="M117" s="91" t="s">
        <v>685</v>
      </c>
      <c r="N117" s="91">
        <v>400</v>
      </c>
      <c r="O117" s="91">
        <v>51.67</v>
      </c>
      <c r="P117" s="122"/>
      <c r="Q117" s="122"/>
      <c r="R117" s="120">
        <f t="shared" si="6"/>
        <v>51.67</v>
      </c>
      <c r="S117" s="2">
        <f t="shared" si="10"/>
        <v>0.14040760869565219</v>
      </c>
    </row>
    <row r="118" spans="1:19" x14ac:dyDescent="0.25">
      <c r="A118" s="245"/>
      <c r="B118" s="252"/>
      <c r="C118" s="252"/>
      <c r="D118" s="252"/>
      <c r="E118" s="252"/>
      <c r="F118" s="221"/>
      <c r="G118" s="222"/>
      <c r="H118" s="254"/>
      <c r="I118" s="253"/>
      <c r="J118" s="182"/>
      <c r="K118" s="91"/>
      <c r="L118" s="243"/>
      <c r="M118" s="91" t="s">
        <v>686</v>
      </c>
      <c r="N118" s="91">
        <v>400</v>
      </c>
      <c r="O118" s="91">
        <v>52.36</v>
      </c>
      <c r="P118" s="122"/>
      <c r="Q118" s="122"/>
      <c r="R118" s="120">
        <f t="shared" si="6"/>
        <v>52.36</v>
      </c>
      <c r="S118" s="2">
        <f t="shared" si="10"/>
        <v>0.14228260869565218</v>
      </c>
    </row>
    <row r="119" spans="1:19" hidden="1" x14ac:dyDescent="0.25">
      <c r="A119" s="245"/>
      <c r="B119" s="252"/>
      <c r="C119" s="252"/>
      <c r="D119" s="252"/>
      <c r="E119" s="252"/>
      <c r="F119" s="223"/>
      <c r="G119" s="224"/>
      <c r="H119" s="254"/>
      <c r="I119" s="253"/>
      <c r="J119" s="182"/>
      <c r="K119" s="91"/>
      <c r="L119" s="239"/>
      <c r="M119" s="91" t="s">
        <v>687</v>
      </c>
      <c r="N119" s="91">
        <v>100</v>
      </c>
      <c r="O119" s="91">
        <v>0</v>
      </c>
      <c r="P119" s="122"/>
      <c r="Q119" s="122"/>
      <c r="R119" s="120">
        <f t="shared" si="6"/>
        <v>0</v>
      </c>
      <c r="S119" s="93">
        <v>0</v>
      </c>
    </row>
    <row r="120" spans="1:19" x14ac:dyDescent="0.25">
      <c r="A120" s="48">
        <v>26</v>
      </c>
      <c r="B120" s="252"/>
      <c r="C120" s="252"/>
      <c r="D120" s="252"/>
      <c r="E120" s="252"/>
      <c r="F120" s="228" t="s">
        <v>688</v>
      </c>
      <c r="G120" s="228"/>
      <c r="H120" s="254"/>
      <c r="I120" s="253"/>
      <c r="J120" s="182"/>
      <c r="K120" s="91"/>
      <c r="L120" s="14">
        <v>0.154</v>
      </c>
      <c r="M120" s="15" t="s">
        <v>689</v>
      </c>
      <c r="N120" s="91">
        <v>250</v>
      </c>
      <c r="O120" s="91">
        <v>105.5</v>
      </c>
      <c r="P120" s="122"/>
      <c r="Q120" s="122">
        <f>50</f>
        <v>50</v>
      </c>
      <c r="R120" s="120">
        <f t="shared" si="6"/>
        <v>155.5</v>
      </c>
      <c r="S120" s="2">
        <f t="shared" ref="S120:S133" si="11">R120/(N120*0.92)</f>
        <v>0.67608695652173911</v>
      </c>
    </row>
    <row r="121" spans="1:19" x14ac:dyDescent="0.25">
      <c r="A121" s="244">
        <v>27</v>
      </c>
      <c r="B121" s="252"/>
      <c r="C121" s="252"/>
      <c r="D121" s="252"/>
      <c r="E121" s="252"/>
      <c r="F121" s="228" t="s">
        <v>690</v>
      </c>
      <c r="G121" s="228"/>
      <c r="H121" s="254"/>
      <c r="I121" s="253"/>
      <c r="J121" s="182"/>
      <c r="K121" s="91"/>
      <c r="L121" s="238">
        <v>0.11700000000000001</v>
      </c>
      <c r="M121" s="15" t="s">
        <v>691</v>
      </c>
      <c r="N121" s="91">
        <v>250</v>
      </c>
      <c r="O121" s="91">
        <v>46.3</v>
      </c>
      <c r="P121" s="122"/>
      <c r="Q121" s="122"/>
      <c r="R121" s="120">
        <f t="shared" si="6"/>
        <v>46.3</v>
      </c>
      <c r="S121" s="2">
        <f t="shared" si="11"/>
        <v>0.20130434782608694</v>
      </c>
    </row>
    <row r="122" spans="1:19" x14ac:dyDescent="0.25">
      <c r="A122" s="261"/>
      <c r="B122" s="252"/>
      <c r="C122" s="252"/>
      <c r="D122" s="252"/>
      <c r="E122" s="252"/>
      <c r="F122" s="229"/>
      <c r="G122" s="229"/>
      <c r="H122" s="255"/>
      <c r="I122" s="256"/>
      <c r="J122" s="183"/>
      <c r="K122" s="46"/>
      <c r="L122" s="239"/>
      <c r="M122" s="15" t="s">
        <v>692</v>
      </c>
      <c r="N122" s="91">
        <v>250</v>
      </c>
      <c r="O122" s="91">
        <v>31.3</v>
      </c>
      <c r="P122" s="122"/>
      <c r="Q122" s="122">
        <f>15</f>
        <v>15</v>
      </c>
      <c r="R122" s="120">
        <f t="shared" si="6"/>
        <v>46.3</v>
      </c>
      <c r="S122" s="2">
        <f t="shared" si="11"/>
        <v>0.20130434782608694</v>
      </c>
    </row>
    <row r="123" spans="1:19" x14ac:dyDescent="0.25">
      <c r="A123" s="244">
        <v>28</v>
      </c>
      <c r="B123" s="169" t="s">
        <v>544</v>
      </c>
      <c r="C123" s="169" t="s">
        <v>693</v>
      </c>
      <c r="D123" s="169" t="s">
        <v>275</v>
      </c>
      <c r="E123" s="169"/>
      <c r="F123" s="228" t="s">
        <v>694</v>
      </c>
      <c r="G123" s="228"/>
      <c r="H123" s="169" t="s">
        <v>555</v>
      </c>
      <c r="I123" s="252"/>
      <c r="J123" s="181">
        <v>4.05</v>
      </c>
      <c r="K123" s="91"/>
      <c r="L123" s="238">
        <v>0.35799999999999998</v>
      </c>
      <c r="M123" s="15" t="s">
        <v>695</v>
      </c>
      <c r="N123" s="91">
        <v>250</v>
      </c>
      <c r="O123" s="91">
        <v>1.94</v>
      </c>
      <c r="P123" s="122"/>
      <c r="Q123" s="122"/>
      <c r="R123" s="120">
        <f t="shared" si="6"/>
        <v>1.94</v>
      </c>
      <c r="S123" s="2">
        <f t="shared" si="11"/>
        <v>8.4347826086956512E-3</v>
      </c>
    </row>
    <row r="124" spans="1:19" x14ac:dyDescent="0.25">
      <c r="A124" s="245"/>
      <c r="B124" s="252"/>
      <c r="C124" s="252"/>
      <c r="D124" s="252"/>
      <c r="E124" s="252"/>
      <c r="F124" s="228"/>
      <c r="G124" s="228"/>
      <c r="H124" s="252"/>
      <c r="I124" s="252"/>
      <c r="J124" s="182"/>
      <c r="K124" s="91"/>
      <c r="L124" s="243"/>
      <c r="M124" s="15" t="s">
        <v>696</v>
      </c>
      <c r="N124" s="3">
        <f>2*400</f>
        <v>800</v>
      </c>
      <c r="O124" s="91">
        <v>101.2</v>
      </c>
      <c r="P124" s="122"/>
      <c r="Q124" s="122"/>
      <c r="R124" s="120">
        <f t="shared" si="6"/>
        <v>101.2</v>
      </c>
      <c r="S124" s="2">
        <f t="shared" si="11"/>
        <v>0.13750000000000001</v>
      </c>
    </row>
    <row r="125" spans="1:19" x14ac:dyDescent="0.25">
      <c r="A125" s="245"/>
      <c r="B125" s="252"/>
      <c r="C125" s="252"/>
      <c r="D125" s="252"/>
      <c r="E125" s="252"/>
      <c r="F125" s="228"/>
      <c r="G125" s="228"/>
      <c r="H125" s="252"/>
      <c r="I125" s="252"/>
      <c r="J125" s="182"/>
      <c r="K125" s="91"/>
      <c r="L125" s="243"/>
      <c r="M125" s="15" t="s">
        <v>697</v>
      </c>
      <c r="N125" s="91">
        <v>400</v>
      </c>
      <c r="O125" s="91">
        <v>184</v>
      </c>
      <c r="P125" s="122"/>
      <c r="Q125" s="122"/>
      <c r="R125" s="120">
        <f t="shared" si="6"/>
        <v>184</v>
      </c>
      <c r="S125" s="2">
        <f t="shared" si="11"/>
        <v>0.5</v>
      </c>
    </row>
    <row r="126" spans="1:19" x14ac:dyDescent="0.25">
      <c r="A126" s="245"/>
      <c r="B126" s="252"/>
      <c r="C126" s="252"/>
      <c r="D126" s="252"/>
      <c r="E126" s="252"/>
      <c r="F126" s="228"/>
      <c r="G126" s="228"/>
      <c r="H126" s="252"/>
      <c r="I126" s="252"/>
      <c r="J126" s="182"/>
      <c r="K126" s="91"/>
      <c r="L126" s="239"/>
      <c r="M126" s="15" t="s">
        <v>698</v>
      </c>
      <c r="N126" s="91">
        <v>160</v>
      </c>
      <c r="O126" s="91">
        <v>9</v>
      </c>
      <c r="P126" s="122"/>
      <c r="Q126" s="122"/>
      <c r="R126" s="120">
        <f t="shared" si="6"/>
        <v>9</v>
      </c>
      <c r="S126" s="2">
        <f t="shared" si="11"/>
        <v>6.1141304347826081E-2</v>
      </c>
    </row>
    <row r="127" spans="1:19" x14ac:dyDescent="0.25">
      <c r="A127" s="244">
        <v>29</v>
      </c>
      <c r="B127" s="252"/>
      <c r="C127" s="252"/>
      <c r="D127" s="252"/>
      <c r="E127" s="252"/>
      <c r="F127" s="228" t="s">
        <v>699</v>
      </c>
      <c r="G127" s="228"/>
      <c r="H127" s="252"/>
      <c r="I127" s="252"/>
      <c r="J127" s="182"/>
      <c r="K127" s="91"/>
      <c r="L127" s="238">
        <v>0.33100000000000002</v>
      </c>
      <c r="M127" s="15" t="s">
        <v>700</v>
      </c>
      <c r="N127" s="3">
        <f>2*400</f>
        <v>800</v>
      </c>
      <c r="O127" s="91">
        <v>128.69999999999999</v>
      </c>
      <c r="P127" s="122"/>
      <c r="Q127" s="122"/>
      <c r="R127" s="120">
        <f t="shared" si="6"/>
        <v>128.69999999999999</v>
      </c>
      <c r="S127" s="2">
        <f t="shared" si="11"/>
        <v>0.17486413043478261</v>
      </c>
    </row>
    <row r="128" spans="1:19" x14ac:dyDescent="0.25">
      <c r="A128" s="245"/>
      <c r="B128" s="252"/>
      <c r="C128" s="252"/>
      <c r="D128" s="252"/>
      <c r="E128" s="252"/>
      <c r="F128" s="228"/>
      <c r="G128" s="228"/>
      <c r="H128" s="252"/>
      <c r="I128" s="252"/>
      <c r="J128" s="182"/>
      <c r="K128" s="91"/>
      <c r="L128" s="239"/>
      <c r="M128" s="15" t="s">
        <v>701</v>
      </c>
      <c r="N128" s="91">
        <v>400</v>
      </c>
      <c r="O128" s="91">
        <v>181.2</v>
      </c>
      <c r="P128" s="122"/>
      <c r="Q128" s="122"/>
      <c r="R128" s="120">
        <f t="shared" si="6"/>
        <v>181.2</v>
      </c>
      <c r="S128" s="2">
        <f t="shared" si="11"/>
        <v>0.49239130434782608</v>
      </c>
    </row>
    <row r="129" spans="1:19" x14ac:dyDescent="0.25">
      <c r="A129" s="244">
        <v>30</v>
      </c>
      <c r="B129" s="252"/>
      <c r="C129" s="252"/>
      <c r="D129" s="252"/>
      <c r="E129" s="252"/>
      <c r="F129" s="228" t="s">
        <v>702</v>
      </c>
      <c r="G129" s="228"/>
      <c r="H129" s="252"/>
      <c r="I129" s="252"/>
      <c r="J129" s="182"/>
      <c r="K129" s="91"/>
      <c r="L129" s="238">
        <v>0.51900000000000002</v>
      </c>
      <c r="M129" s="15" t="s">
        <v>703</v>
      </c>
      <c r="N129" s="91">
        <v>400</v>
      </c>
      <c r="O129" s="91">
        <v>32.1</v>
      </c>
      <c r="P129" s="122"/>
      <c r="Q129" s="122"/>
      <c r="R129" s="120">
        <f t="shared" si="6"/>
        <v>32.1</v>
      </c>
      <c r="S129" s="2">
        <f t="shared" si="11"/>
        <v>8.7228260869565227E-2</v>
      </c>
    </row>
    <row r="130" spans="1:19" x14ac:dyDescent="0.25">
      <c r="A130" s="245"/>
      <c r="B130" s="252"/>
      <c r="C130" s="252"/>
      <c r="D130" s="252"/>
      <c r="E130" s="252"/>
      <c r="F130" s="228"/>
      <c r="G130" s="228"/>
      <c r="H130" s="252"/>
      <c r="I130" s="252"/>
      <c r="J130" s="182"/>
      <c r="K130" s="91"/>
      <c r="L130" s="243"/>
      <c r="M130" s="15" t="s">
        <v>704</v>
      </c>
      <c r="N130" s="91">
        <v>400</v>
      </c>
      <c r="O130" s="91">
        <v>119.8</v>
      </c>
      <c r="P130" s="122"/>
      <c r="Q130" s="122">
        <f>12+15</f>
        <v>27</v>
      </c>
      <c r="R130" s="120">
        <f t="shared" si="6"/>
        <v>146.80000000000001</v>
      </c>
      <c r="S130" s="2">
        <f t="shared" si="11"/>
        <v>0.3989130434782609</v>
      </c>
    </row>
    <row r="131" spans="1:19" x14ac:dyDescent="0.25">
      <c r="A131" s="245"/>
      <c r="B131" s="252"/>
      <c r="C131" s="252"/>
      <c r="D131" s="252"/>
      <c r="E131" s="252"/>
      <c r="F131" s="228"/>
      <c r="G131" s="228"/>
      <c r="H131" s="252"/>
      <c r="I131" s="252"/>
      <c r="J131" s="182"/>
      <c r="K131" s="91"/>
      <c r="L131" s="243"/>
      <c r="M131" s="15" t="s">
        <v>705</v>
      </c>
      <c r="N131" s="91">
        <v>400</v>
      </c>
      <c r="O131" s="91">
        <v>31.1</v>
      </c>
      <c r="P131" s="122"/>
      <c r="Q131" s="122"/>
      <c r="R131" s="120">
        <f t="shared" si="6"/>
        <v>31.1</v>
      </c>
      <c r="S131" s="2">
        <f t="shared" si="11"/>
        <v>8.4510869565217389E-2</v>
      </c>
    </row>
    <row r="132" spans="1:19" x14ac:dyDescent="0.25">
      <c r="A132" s="245"/>
      <c r="B132" s="252"/>
      <c r="C132" s="252"/>
      <c r="D132" s="252"/>
      <c r="E132" s="252"/>
      <c r="F132" s="228"/>
      <c r="G132" s="228"/>
      <c r="H132" s="252"/>
      <c r="I132" s="252"/>
      <c r="J132" s="182"/>
      <c r="K132" s="91"/>
      <c r="L132" s="243"/>
      <c r="M132" s="15" t="s">
        <v>706</v>
      </c>
      <c r="N132" s="91">
        <v>400</v>
      </c>
      <c r="O132" s="91">
        <v>194.1</v>
      </c>
      <c r="P132" s="122"/>
      <c r="Q132" s="122">
        <v>10</v>
      </c>
      <c r="R132" s="120">
        <f t="shared" si="6"/>
        <v>204.1</v>
      </c>
      <c r="S132" s="2">
        <f t="shared" si="11"/>
        <v>0.55461956521739131</v>
      </c>
    </row>
    <row r="133" spans="1:19" ht="16.5" thickBot="1" x14ac:dyDescent="0.3">
      <c r="A133" s="264"/>
      <c r="B133" s="262"/>
      <c r="C133" s="262"/>
      <c r="D133" s="262"/>
      <c r="E133" s="262"/>
      <c r="F133" s="265"/>
      <c r="G133" s="265"/>
      <c r="H133" s="262"/>
      <c r="I133" s="262"/>
      <c r="J133" s="263"/>
      <c r="K133" s="4"/>
      <c r="L133" s="266"/>
      <c r="M133" s="16" t="s">
        <v>707</v>
      </c>
      <c r="N133" s="4">
        <v>400</v>
      </c>
      <c r="O133" s="4">
        <v>88.5</v>
      </c>
      <c r="P133" s="119"/>
      <c r="Q133" s="119">
        <f>50+70</f>
        <v>120</v>
      </c>
      <c r="R133" s="120">
        <f t="shared" si="6"/>
        <v>208.5</v>
      </c>
      <c r="S133" s="2">
        <f t="shared" si="11"/>
        <v>0.56657608695652173</v>
      </c>
    </row>
    <row r="134" spans="1:19" ht="16.5" hidden="1" thickBot="1" x14ac:dyDescent="0.3">
      <c r="A134" s="164" t="s">
        <v>708</v>
      </c>
      <c r="B134" s="165"/>
      <c r="C134" s="165"/>
      <c r="D134" s="165"/>
      <c r="E134" s="165"/>
      <c r="F134" s="165"/>
      <c r="G134" s="165"/>
      <c r="H134" s="165"/>
      <c r="I134" s="165"/>
      <c r="J134" s="165"/>
      <c r="K134" s="165"/>
      <c r="L134" s="165"/>
      <c r="M134" s="165"/>
      <c r="N134" s="165"/>
      <c r="O134" s="165"/>
      <c r="P134" s="167"/>
      <c r="Q134" s="167"/>
      <c r="R134" s="167"/>
      <c r="S134" s="168"/>
    </row>
    <row r="135" spans="1:19" x14ac:dyDescent="0.25">
      <c r="A135" s="214">
        <v>1</v>
      </c>
      <c r="B135" s="169" t="s">
        <v>36</v>
      </c>
      <c r="C135" s="169" t="s">
        <v>106</v>
      </c>
      <c r="D135" s="169" t="s">
        <v>555</v>
      </c>
      <c r="E135" s="169" t="s">
        <v>107</v>
      </c>
      <c r="F135" s="216" t="s">
        <v>51</v>
      </c>
      <c r="G135" s="217"/>
      <c r="H135" s="170" t="s">
        <v>709</v>
      </c>
      <c r="I135" s="171"/>
      <c r="J135" s="169">
        <v>1.52</v>
      </c>
      <c r="K135" s="88"/>
      <c r="L135" s="215">
        <v>0.52</v>
      </c>
      <c r="M135" s="86" t="s">
        <v>710</v>
      </c>
      <c r="N135" s="86">
        <v>250</v>
      </c>
      <c r="O135" s="91">
        <v>67.8</v>
      </c>
      <c r="P135" s="103"/>
      <c r="Q135" s="103"/>
      <c r="R135" s="103">
        <f>P135+Q135+O135</f>
        <v>67.8</v>
      </c>
      <c r="S135" s="2">
        <f t="shared" ref="S135:S142" si="12">R135/(N135*0.92)</f>
        <v>0.29478260869565215</v>
      </c>
    </row>
    <row r="136" spans="1:19" x14ac:dyDescent="0.25">
      <c r="A136" s="201"/>
      <c r="B136" s="169"/>
      <c r="C136" s="169"/>
      <c r="D136" s="169"/>
      <c r="E136" s="169"/>
      <c r="F136" s="172"/>
      <c r="G136" s="173"/>
      <c r="H136" s="172"/>
      <c r="I136" s="173"/>
      <c r="J136" s="169"/>
      <c r="K136" s="88"/>
      <c r="L136" s="182"/>
      <c r="M136" s="86" t="s">
        <v>711</v>
      </c>
      <c r="N136" s="86">
        <v>160</v>
      </c>
      <c r="O136" s="91">
        <v>58.1</v>
      </c>
      <c r="P136" s="103"/>
      <c r="Q136" s="103"/>
      <c r="R136" s="103">
        <f t="shared" ref="R136:R199" si="13">P136+Q136+O136</f>
        <v>58.1</v>
      </c>
      <c r="S136" s="2">
        <f t="shared" si="12"/>
        <v>0.39470108695652173</v>
      </c>
    </row>
    <row r="137" spans="1:19" x14ac:dyDescent="0.25">
      <c r="A137" s="201"/>
      <c r="B137" s="169"/>
      <c r="C137" s="169"/>
      <c r="D137" s="169"/>
      <c r="E137" s="169"/>
      <c r="F137" s="172"/>
      <c r="G137" s="173"/>
      <c r="H137" s="172"/>
      <c r="I137" s="173"/>
      <c r="J137" s="169"/>
      <c r="K137" s="88"/>
      <c r="L137" s="182"/>
      <c r="M137" s="86" t="s">
        <v>712</v>
      </c>
      <c r="N137" s="86">
        <f>2*400</f>
        <v>800</v>
      </c>
      <c r="O137" s="91">
        <v>187</v>
      </c>
      <c r="P137" s="103"/>
      <c r="Q137" s="103"/>
      <c r="R137" s="103">
        <f t="shared" si="13"/>
        <v>187</v>
      </c>
      <c r="S137" s="2">
        <f t="shared" si="12"/>
        <v>0.25407608695652173</v>
      </c>
    </row>
    <row r="138" spans="1:19" x14ac:dyDescent="0.25">
      <c r="A138" s="201"/>
      <c r="B138" s="169"/>
      <c r="C138" s="169"/>
      <c r="D138" s="169"/>
      <c r="E138" s="169"/>
      <c r="F138" s="172"/>
      <c r="G138" s="173"/>
      <c r="H138" s="172"/>
      <c r="I138" s="173"/>
      <c r="J138" s="169"/>
      <c r="K138" s="88"/>
      <c r="L138" s="182"/>
      <c r="M138" s="86" t="s">
        <v>713</v>
      </c>
      <c r="N138" s="86">
        <v>250</v>
      </c>
      <c r="O138" s="91">
        <v>27.2</v>
      </c>
      <c r="P138" s="103"/>
      <c r="Q138" s="103"/>
      <c r="R138" s="103">
        <f t="shared" si="13"/>
        <v>27.2</v>
      </c>
      <c r="S138" s="2">
        <f t="shared" si="12"/>
        <v>0.11826086956521739</v>
      </c>
    </row>
    <row r="139" spans="1:19" x14ac:dyDescent="0.25">
      <c r="A139" s="201"/>
      <c r="B139" s="169"/>
      <c r="C139" s="169"/>
      <c r="D139" s="169"/>
      <c r="E139" s="169"/>
      <c r="F139" s="172"/>
      <c r="G139" s="173"/>
      <c r="H139" s="172"/>
      <c r="I139" s="173"/>
      <c r="J139" s="169"/>
      <c r="K139" s="88"/>
      <c r="L139" s="182"/>
      <c r="M139" s="86" t="s">
        <v>714</v>
      </c>
      <c r="N139" s="86">
        <v>250</v>
      </c>
      <c r="O139" s="91">
        <v>56.7</v>
      </c>
      <c r="P139" s="103"/>
      <c r="Q139" s="103">
        <f>5</f>
        <v>5</v>
      </c>
      <c r="R139" s="103">
        <f t="shared" si="13"/>
        <v>61.7</v>
      </c>
      <c r="S139" s="2">
        <f t="shared" si="12"/>
        <v>0.26826086956521739</v>
      </c>
    </row>
    <row r="140" spans="1:19" x14ac:dyDescent="0.25">
      <c r="A140" s="201"/>
      <c r="B140" s="169"/>
      <c r="C140" s="169"/>
      <c r="D140" s="169"/>
      <c r="E140" s="169"/>
      <c r="F140" s="172"/>
      <c r="G140" s="173"/>
      <c r="H140" s="172"/>
      <c r="I140" s="173"/>
      <c r="J140" s="169"/>
      <c r="K140" s="88"/>
      <c r="L140" s="182"/>
      <c r="M140" s="86" t="s">
        <v>715</v>
      </c>
      <c r="N140" s="86">
        <v>160</v>
      </c>
      <c r="O140" s="91">
        <v>22</v>
      </c>
      <c r="P140" s="103"/>
      <c r="Q140" s="103"/>
      <c r="R140" s="103">
        <f t="shared" si="13"/>
        <v>22</v>
      </c>
      <c r="S140" s="2">
        <f t="shared" si="12"/>
        <v>0.1494565217391304</v>
      </c>
    </row>
    <row r="141" spans="1:19" x14ac:dyDescent="0.25">
      <c r="A141" s="201"/>
      <c r="B141" s="169"/>
      <c r="C141" s="169"/>
      <c r="D141" s="169"/>
      <c r="E141" s="169"/>
      <c r="F141" s="174"/>
      <c r="G141" s="175"/>
      <c r="H141" s="172"/>
      <c r="I141" s="173"/>
      <c r="J141" s="169"/>
      <c r="K141" s="88"/>
      <c r="L141" s="183"/>
      <c r="M141" s="86" t="s">
        <v>716</v>
      </c>
      <c r="N141" s="86">
        <v>250</v>
      </c>
      <c r="O141" s="91">
        <v>83.9</v>
      </c>
      <c r="P141" s="103"/>
      <c r="Q141" s="103"/>
      <c r="R141" s="103">
        <f t="shared" si="13"/>
        <v>83.9</v>
      </c>
      <c r="S141" s="2">
        <f t="shared" si="12"/>
        <v>0.36478260869565221</v>
      </c>
    </row>
    <row r="142" spans="1:19" x14ac:dyDescent="0.25">
      <c r="A142" s="201"/>
      <c r="B142" s="169"/>
      <c r="C142" s="169"/>
      <c r="D142" s="169"/>
      <c r="E142" s="169"/>
      <c r="F142" s="176" t="s">
        <v>52</v>
      </c>
      <c r="G142" s="177"/>
      <c r="H142" s="172"/>
      <c r="I142" s="173"/>
      <c r="J142" s="169"/>
      <c r="K142" s="88"/>
      <c r="L142" s="88">
        <v>4.3999999999999997E-2</v>
      </c>
      <c r="M142" s="86" t="s">
        <v>717</v>
      </c>
      <c r="N142" s="86">
        <v>160</v>
      </c>
      <c r="O142" s="91">
        <v>47</v>
      </c>
      <c r="P142" s="103"/>
      <c r="Q142" s="103"/>
      <c r="R142" s="103">
        <f t="shared" si="13"/>
        <v>47</v>
      </c>
      <c r="S142" s="2">
        <f t="shared" si="12"/>
        <v>0.31929347826086951</v>
      </c>
    </row>
    <row r="143" spans="1:19" hidden="1" x14ac:dyDescent="0.25">
      <c r="A143" s="201"/>
      <c r="B143" s="169"/>
      <c r="C143" s="169"/>
      <c r="D143" s="169"/>
      <c r="E143" s="169"/>
      <c r="F143" s="176" t="s">
        <v>541</v>
      </c>
      <c r="G143" s="177"/>
      <c r="H143" s="172"/>
      <c r="I143" s="173"/>
      <c r="J143" s="169"/>
      <c r="K143" s="88"/>
      <c r="L143" s="88"/>
      <c r="M143" s="88" t="s">
        <v>59</v>
      </c>
      <c r="N143" s="91"/>
      <c r="O143" s="91"/>
      <c r="P143" s="103"/>
      <c r="Q143" s="103"/>
      <c r="R143" s="103">
        <f t="shared" si="13"/>
        <v>0</v>
      </c>
      <c r="S143" s="10"/>
    </row>
    <row r="144" spans="1:19" hidden="1" x14ac:dyDescent="0.25">
      <c r="A144" s="201"/>
      <c r="B144" s="169"/>
      <c r="C144" s="169"/>
      <c r="D144" s="169"/>
      <c r="E144" s="169"/>
      <c r="F144" s="176" t="s">
        <v>542</v>
      </c>
      <c r="G144" s="177"/>
      <c r="H144" s="172"/>
      <c r="I144" s="173"/>
      <c r="J144" s="169"/>
      <c r="K144" s="88"/>
      <c r="L144" s="88"/>
      <c r="M144" s="88" t="s">
        <v>59</v>
      </c>
      <c r="N144" s="91"/>
      <c r="O144" s="91"/>
      <c r="P144" s="103"/>
      <c r="Q144" s="103"/>
      <c r="R144" s="103">
        <f t="shared" si="13"/>
        <v>0</v>
      </c>
      <c r="S144" s="10"/>
    </row>
    <row r="145" spans="1:19" x14ac:dyDescent="0.25">
      <c r="A145" s="201"/>
      <c r="B145" s="169"/>
      <c r="C145" s="169"/>
      <c r="D145" s="169"/>
      <c r="E145" s="169"/>
      <c r="F145" s="176" t="s">
        <v>718</v>
      </c>
      <c r="G145" s="177"/>
      <c r="H145" s="172"/>
      <c r="I145" s="173"/>
      <c r="J145" s="169"/>
      <c r="K145" s="88"/>
      <c r="L145" s="88">
        <v>0.23</v>
      </c>
      <c r="M145" s="159" t="s">
        <v>59</v>
      </c>
      <c r="N145" s="86">
        <v>630</v>
      </c>
      <c r="O145" s="91">
        <v>229</v>
      </c>
      <c r="P145" s="103"/>
      <c r="Q145" s="103"/>
      <c r="R145" s="103">
        <f t="shared" si="13"/>
        <v>229</v>
      </c>
      <c r="S145" s="2">
        <f>R145/(N145*0.92)</f>
        <v>0.39510006901311245</v>
      </c>
    </row>
    <row r="146" spans="1:19" hidden="1" x14ac:dyDescent="0.25">
      <c r="A146" s="201"/>
      <c r="B146" s="169"/>
      <c r="C146" s="169"/>
      <c r="D146" s="169"/>
      <c r="E146" s="169"/>
      <c r="F146" s="176" t="s">
        <v>543</v>
      </c>
      <c r="G146" s="177"/>
      <c r="H146" s="172"/>
      <c r="I146" s="173"/>
      <c r="J146" s="169"/>
      <c r="K146" s="88"/>
      <c r="L146" s="88"/>
      <c r="M146" s="88" t="s">
        <v>59</v>
      </c>
      <c r="N146" s="91"/>
      <c r="O146" s="91"/>
      <c r="P146" s="103"/>
      <c r="Q146" s="103"/>
      <c r="R146" s="103">
        <f t="shared" si="13"/>
        <v>0</v>
      </c>
      <c r="S146" s="10"/>
    </row>
    <row r="147" spans="1:19" hidden="1" x14ac:dyDescent="0.25">
      <c r="A147" s="201"/>
      <c r="B147" s="169"/>
      <c r="C147" s="169"/>
      <c r="D147" s="169"/>
      <c r="E147" s="169"/>
      <c r="F147" s="176" t="s">
        <v>539</v>
      </c>
      <c r="G147" s="177"/>
      <c r="H147" s="172"/>
      <c r="I147" s="173"/>
      <c r="J147" s="169"/>
      <c r="K147" s="88"/>
      <c r="L147" s="88"/>
      <c r="M147" s="88" t="s">
        <v>59</v>
      </c>
      <c r="N147" s="91"/>
      <c r="O147" s="91"/>
      <c r="P147" s="103"/>
      <c r="Q147" s="103"/>
      <c r="R147" s="103">
        <f t="shared" si="13"/>
        <v>0</v>
      </c>
      <c r="S147" s="10"/>
    </row>
    <row r="148" spans="1:19" hidden="1" x14ac:dyDescent="0.25">
      <c r="A148" s="202"/>
      <c r="B148" s="169"/>
      <c r="C148" s="169"/>
      <c r="D148" s="169"/>
      <c r="E148" s="169"/>
      <c r="F148" s="176" t="s">
        <v>540</v>
      </c>
      <c r="G148" s="177"/>
      <c r="H148" s="174"/>
      <c r="I148" s="175"/>
      <c r="J148" s="169"/>
      <c r="K148" s="88"/>
      <c r="L148" s="88"/>
      <c r="M148" s="88" t="s">
        <v>59</v>
      </c>
      <c r="N148" s="91"/>
      <c r="O148" s="91"/>
      <c r="P148" s="103"/>
      <c r="Q148" s="103"/>
      <c r="R148" s="103">
        <f t="shared" si="13"/>
        <v>0</v>
      </c>
      <c r="S148" s="10"/>
    </row>
    <row r="149" spans="1:19" hidden="1" x14ac:dyDescent="0.25">
      <c r="A149" s="89"/>
      <c r="B149" s="237" t="s">
        <v>110</v>
      </c>
      <c r="C149" s="237"/>
      <c r="D149" s="237"/>
      <c r="E149" s="237"/>
      <c r="F149" s="237"/>
      <c r="G149" s="237"/>
      <c r="H149" s="237"/>
      <c r="I149" s="237"/>
      <c r="J149" s="149">
        <f>J135</f>
        <v>1.52</v>
      </c>
      <c r="K149" s="149"/>
      <c r="L149" s="149">
        <f>L135+L142</f>
        <v>0.56400000000000006</v>
      </c>
      <c r="M149" s="149"/>
      <c r="N149" s="150"/>
      <c r="O149" s="150"/>
      <c r="P149" s="150"/>
      <c r="Q149" s="150"/>
      <c r="R149" s="150">
        <f t="shared" si="13"/>
        <v>0</v>
      </c>
      <c r="S149" s="158"/>
    </row>
    <row r="150" spans="1:19" x14ac:dyDescent="0.25">
      <c r="A150" s="203">
        <f>A135+1</f>
        <v>2</v>
      </c>
      <c r="B150" s="181" t="s">
        <v>719</v>
      </c>
      <c r="C150" s="181" t="s">
        <v>720</v>
      </c>
      <c r="D150" s="181" t="s">
        <v>721</v>
      </c>
      <c r="E150" s="181" t="s">
        <v>58</v>
      </c>
      <c r="F150" s="170" t="s">
        <v>2133</v>
      </c>
      <c r="G150" s="171"/>
      <c r="H150" s="170" t="s">
        <v>709</v>
      </c>
      <c r="I150" s="171"/>
      <c r="J150" s="181"/>
      <c r="K150" s="88"/>
      <c r="L150" s="181">
        <v>0.67</v>
      </c>
      <c r="M150" s="87" t="s">
        <v>722</v>
      </c>
      <c r="N150" s="17">
        <v>400</v>
      </c>
      <c r="O150" s="91">
        <v>4.9000000000000004</v>
      </c>
      <c r="P150" s="103"/>
      <c r="Q150" s="103"/>
      <c r="R150" s="103">
        <f t="shared" si="13"/>
        <v>4.9000000000000004</v>
      </c>
      <c r="S150" s="2">
        <f t="shared" ref="S150:S162" si="14">R150/(N150*0.92)</f>
        <v>1.3315217391304349E-2</v>
      </c>
    </row>
    <row r="151" spans="1:19" x14ac:dyDescent="0.25">
      <c r="A151" s="201"/>
      <c r="B151" s="182"/>
      <c r="C151" s="182"/>
      <c r="D151" s="182"/>
      <c r="E151" s="182"/>
      <c r="F151" s="172"/>
      <c r="G151" s="173"/>
      <c r="H151" s="172"/>
      <c r="I151" s="173"/>
      <c r="J151" s="182"/>
      <c r="K151" s="88"/>
      <c r="L151" s="182"/>
      <c r="M151" s="87" t="s">
        <v>723</v>
      </c>
      <c r="N151" s="17">
        <v>400</v>
      </c>
      <c r="O151" s="91">
        <v>246</v>
      </c>
      <c r="P151" s="103"/>
      <c r="Q151" s="103"/>
      <c r="R151" s="103">
        <f t="shared" si="13"/>
        <v>246</v>
      </c>
      <c r="S151" s="2">
        <f t="shared" si="14"/>
        <v>0.66847826086956519</v>
      </c>
    </row>
    <row r="152" spans="1:19" x14ac:dyDescent="0.25">
      <c r="A152" s="201"/>
      <c r="B152" s="182"/>
      <c r="C152" s="182"/>
      <c r="D152" s="182"/>
      <c r="E152" s="182"/>
      <c r="F152" s="172"/>
      <c r="G152" s="173"/>
      <c r="H152" s="172"/>
      <c r="I152" s="173"/>
      <c r="J152" s="182"/>
      <c r="K152" s="88"/>
      <c r="L152" s="182"/>
      <c r="M152" s="18" t="s">
        <v>724</v>
      </c>
      <c r="N152" s="17">
        <v>160</v>
      </c>
      <c r="O152" s="91">
        <v>37.6</v>
      </c>
      <c r="P152" s="103"/>
      <c r="Q152" s="103"/>
      <c r="R152" s="103">
        <f t="shared" si="13"/>
        <v>37.6</v>
      </c>
      <c r="S152" s="2">
        <f t="shared" si="14"/>
        <v>0.25543478260869562</v>
      </c>
    </row>
    <row r="153" spans="1:19" x14ac:dyDescent="0.25">
      <c r="A153" s="201"/>
      <c r="B153" s="182"/>
      <c r="C153" s="182"/>
      <c r="D153" s="182"/>
      <c r="E153" s="182"/>
      <c r="F153" s="172"/>
      <c r="G153" s="173"/>
      <c r="H153" s="172"/>
      <c r="I153" s="173"/>
      <c r="J153" s="182"/>
      <c r="K153" s="88"/>
      <c r="L153" s="182"/>
      <c r="M153" s="87" t="s">
        <v>725</v>
      </c>
      <c r="N153" s="17">
        <v>250</v>
      </c>
      <c r="O153" s="91">
        <v>16.7</v>
      </c>
      <c r="P153" s="103"/>
      <c r="Q153" s="103"/>
      <c r="R153" s="103">
        <f t="shared" si="13"/>
        <v>16.7</v>
      </c>
      <c r="S153" s="2">
        <f t="shared" si="14"/>
        <v>7.2608695652173913E-2</v>
      </c>
    </row>
    <row r="154" spans="1:19" x14ac:dyDescent="0.25">
      <c r="A154" s="201"/>
      <c r="B154" s="182"/>
      <c r="C154" s="182"/>
      <c r="D154" s="182"/>
      <c r="E154" s="182"/>
      <c r="F154" s="172"/>
      <c r="G154" s="173"/>
      <c r="H154" s="172"/>
      <c r="I154" s="173"/>
      <c r="J154" s="182"/>
      <c r="K154" s="88"/>
      <c r="L154" s="182"/>
      <c r="M154" s="87" t="s">
        <v>726</v>
      </c>
      <c r="N154" s="17">
        <v>630</v>
      </c>
      <c r="O154" s="91">
        <v>61.9</v>
      </c>
      <c r="P154" s="103"/>
      <c r="Q154" s="103">
        <f>7</f>
        <v>7</v>
      </c>
      <c r="R154" s="103">
        <f t="shared" si="13"/>
        <v>68.900000000000006</v>
      </c>
      <c r="S154" s="2">
        <f t="shared" si="14"/>
        <v>0.11887508626639062</v>
      </c>
    </row>
    <row r="155" spans="1:19" x14ac:dyDescent="0.25">
      <c r="A155" s="201"/>
      <c r="B155" s="182"/>
      <c r="C155" s="182"/>
      <c r="D155" s="182"/>
      <c r="E155" s="182"/>
      <c r="F155" s="172"/>
      <c r="G155" s="173"/>
      <c r="H155" s="172"/>
      <c r="I155" s="173"/>
      <c r="J155" s="182"/>
      <c r="K155" s="88"/>
      <c r="L155" s="182"/>
      <c r="M155" s="87" t="s">
        <v>727</v>
      </c>
      <c r="N155" s="17">
        <v>250</v>
      </c>
      <c r="O155" s="91">
        <v>19.2</v>
      </c>
      <c r="P155" s="103"/>
      <c r="Q155" s="103"/>
      <c r="R155" s="103">
        <f t="shared" si="13"/>
        <v>19.2</v>
      </c>
      <c r="S155" s="2">
        <f t="shared" si="14"/>
        <v>8.347826086956521E-2</v>
      </c>
    </row>
    <row r="156" spans="1:19" x14ac:dyDescent="0.25">
      <c r="A156" s="201"/>
      <c r="B156" s="182"/>
      <c r="C156" s="182"/>
      <c r="D156" s="182"/>
      <c r="E156" s="182"/>
      <c r="F156" s="172"/>
      <c r="G156" s="173"/>
      <c r="H156" s="172"/>
      <c r="I156" s="173"/>
      <c r="J156" s="182"/>
      <c r="K156" s="88"/>
      <c r="L156" s="182"/>
      <c r="M156" s="87" t="s">
        <v>728</v>
      </c>
      <c r="N156" s="17">
        <v>400</v>
      </c>
      <c r="O156" s="91">
        <v>46</v>
      </c>
      <c r="P156" s="103"/>
      <c r="Q156" s="103"/>
      <c r="R156" s="103">
        <f t="shared" si="13"/>
        <v>46</v>
      </c>
      <c r="S156" s="2">
        <f t="shared" si="14"/>
        <v>0.125</v>
      </c>
    </row>
    <row r="157" spans="1:19" x14ac:dyDescent="0.25">
      <c r="A157" s="201"/>
      <c r="B157" s="182"/>
      <c r="C157" s="182"/>
      <c r="D157" s="182"/>
      <c r="E157" s="182"/>
      <c r="F157" s="172"/>
      <c r="G157" s="173"/>
      <c r="H157" s="172"/>
      <c r="I157" s="173"/>
      <c r="J157" s="182"/>
      <c r="K157" s="88"/>
      <c r="L157" s="182"/>
      <c r="M157" s="18" t="s">
        <v>729</v>
      </c>
      <c r="N157" s="17">
        <v>400</v>
      </c>
      <c r="O157" s="91">
        <v>264.3</v>
      </c>
      <c r="P157" s="103"/>
      <c r="Q157" s="103">
        <f>2+2+2+1+7+3+1+3+2+11+2+6+5+5</f>
        <v>52</v>
      </c>
      <c r="R157" s="103">
        <f t="shared" si="13"/>
        <v>316.3</v>
      </c>
      <c r="S157" s="2">
        <f t="shared" si="14"/>
        <v>0.85951086956521738</v>
      </c>
    </row>
    <row r="158" spans="1:19" x14ac:dyDescent="0.25">
      <c r="A158" s="201"/>
      <c r="B158" s="182"/>
      <c r="C158" s="182"/>
      <c r="D158" s="182"/>
      <c r="E158" s="182"/>
      <c r="F158" s="172"/>
      <c r="G158" s="173"/>
      <c r="H158" s="172"/>
      <c r="I158" s="173"/>
      <c r="J158" s="182"/>
      <c r="K158" s="88"/>
      <c r="L158" s="182"/>
      <c r="M158" s="18" t="s">
        <v>730</v>
      </c>
      <c r="N158" s="17">
        <v>25</v>
      </c>
      <c r="O158" s="91">
        <v>10.6</v>
      </c>
      <c r="P158" s="103"/>
      <c r="Q158" s="103"/>
      <c r="R158" s="103">
        <f t="shared" si="13"/>
        <v>10.6</v>
      </c>
      <c r="S158" s="2">
        <f t="shared" si="14"/>
        <v>0.46086956521739131</v>
      </c>
    </row>
    <row r="159" spans="1:19" x14ac:dyDescent="0.25">
      <c r="A159" s="201"/>
      <c r="B159" s="182"/>
      <c r="C159" s="182"/>
      <c r="D159" s="182"/>
      <c r="E159" s="182"/>
      <c r="F159" s="172"/>
      <c r="G159" s="173"/>
      <c r="H159" s="172"/>
      <c r="I159" s="173"/>
      <c r="J159" s="182"/>
      <c r="K159" s="88"/>
      <c r="L159" s="182"/>
      <c r="M159" s="18" t="s">
        <v>731</v>
      </c>
      <c r="N159" s="17">
        <v>400</v>
      </c>
      <c r="O159" s="91">
        <v>178.8</v>
      </c>
      <c r="P159" s="103"/>
      <c r="Q159" s="103">
        <f>5+1+5+5+4+5+10</f>
        <v>35</v>
      </c>
      <c r="R159" s="103">
        <f t="shared" si="13"/>
        <v>213.8</v>
      </c>
      <c r="S159" s="2">
        <f t="shared" si="14"/>
        <v>0.58097826086956528</v>
      </c>
    </row>
    <row r="160" spans="1:19" x14ac:dyDescent="0.25">
      <c r="A160" s="201"/>
      <c r="B160" s="182"/>
      <c r="C160" s="182"/>
      <c r="D160" s="182"/>
      <c r="E160" s="182"/>
      <c r="F160" s="172"/>
      <c r="G160" s="173"/>
      <c r="H160" s="172"/>
      <c r="I160" s="173"/>
      <c r="J160" s="182"/>
      <c r="K160" s="88"/>
      <c r="L160" s="182"/>
      <c r="M160" s="18" t="s">
        <v>732</v>
      </c>
      <c r="N160" s="17">
        <v>63</v>
      </c>
      <c r="O160" s="91">
        <v>6.2</v>
      </c>
      <c r="P160" s="103"/>
      <c r="Q160" s="103"/>
      <c r="R160" s="103">
        <f t="shared" si="13"/>
        <v>6.2</v>
      </c>
      <c r="S160" s="2">
        <f t="shared" si="14"/>
        <v>0.1069703243616287</v>
      </c>
    </row>
    <row r="161" spans="1:19" x14ac:dyDescent="0.25">
      <c r="A161" s="201"/>
      <c r="B161" s="182"/>
      <c r="C161" s="182"/>
      <c r="D161" s="182"/>
      <c r="E161" s="182"/>
      <c r="F161" s="172"/>
      <c r="G161" s="173"/>
      <c r="H161" s="172"/>
      <c r="I161" s="173"/>
      <c r="J161" s="182"/>
      <c r="K161" s="88"/>
      <c r="L161" s="182"/>
      <c r="M161" s="18" t="s">
        <v>733</v>
      </c>
      <c r="N161" s="17">
        <v>250</v>
      </c>
      <c r="O161" s="91">
        <v>70.400000000000006</v>
      </c>
      <c r="P161" s="103"/>
      <c r="Q161" s="103">
        <f>6</f>
        <v>6</v>
      </c>
      <c r="R161" s="103">
        <f t="shared" si="13"/>
        <v>76.400000000000006</v>
      </c>
      <c r="S161" s="2">
        <f t="shared" si="14"/>
        <v>0.33217391304347826</v>
      </c>
    </row>
    <row r="162" spans="1:19" x14ac:dyDescent="0.25">
      <c r="A162" s="201"/>
      <c r="B162" s="182"/>
      <c r="C162" s="182"/>
      <c r="D162" s="182"/>
      <c r="E162" s="182"/>
      <c r="F162" s="172"/>
      <c r="G162" s="173"/>
      <c r="H162" s="172"/>
      <c r="I162" s="173"/>
      <c r="J162" s="182"/>
      <c r="K162" s="88"/>
      <c r="L162" s="182"/>
      <c r="M162" s="18" t="s">
        <v>734</v>
      </c>
      <c r="N162" s="17">
        <v>250</v>
      </c>
      <c r="O162" s="91">
        <v>61.2</v>
      </c>
      <c r="P162" s="103"/>
      <c r="Q162" s="103"/>
      <c r="R162" s="103">
        <f t="shared" si="13"/>
        <v>61.2</v>
      </c>
      <c r="S162" s="2">
        <f t="shared" si="14"/>
        <v>0.26608695652173914</v>
      </c>
    </row>
    <row r="163" spans="1:19" hidden="1" x14ac:dyDescent="0.25">
      <c r="A163" s="201"/>
      <c r="B163" s="182"/>
      <c r="C163" s="182"/>
      <c r="D163" s="182"/>
      <c r="E163" s="182"/>
      <c r="F163" s="172"/>
      <c r="G163" s="173"/>
      <c r="H163" s="172"/>
      <c r="I163" s="173"/>
      <c r="J163" s="182"/>
      <c r="K163" s="88"/>
      <c r="L163" s="182"/>
      <c r="M163" s="18" t="s">
        <v>735</v>
      </c>
      <c r="N163" s="86" t="s">
        <v>173</v>
      </c>
      <c r="O163" s="91" t="s">
        <v>736</v>
      </c>
      <c r="P163" s="103"/>
      <c r="Q163" s="103">
        <v>10</v>
      </c>
      <c r="R163" s="103" t="e">
        <f t="shared" si="13"/>
        <v>#VALUE!</v>
      </c>
      <c r="S163" s="10"/>
    </row>
    <row r="164" spans="1:19" x14ac:dyDescent="0.25">
      <c r="A164" s="201"/>
      <c r="B164" s="182"/>
      <c r="C164" s="182"/>
      <c r="D164" s="182"/>
      <c r="E164" s="182"/>
      <c r="F164" s="172"/>
      <c r="G164" s="173"/>
      <c r="H164" s="172"/>
      <c r="I164" s="173"/>
      <c r="J164" s="182"/>
      <c r="K164" s="88"/>
      <c r="L164" s="182"/>
      <c r="M164" s="18" t="s">
        <v>737</v>
      </c>
      <c r="N164" s="17">
        <v>400</v>
      </c>
      <c r="O164" s="91">
        <v>293</v>
      </c>
      <c r="P164" s="103"/>
      <c r="Q164" s="103">
        <f>5+3+7+1+3+3+15</f>
        <v>37</v>
      </c>
      <c r="R164" s="103">
        <f t="shared" si="13"/>
        <v>330</v>
      </c>
      <c r="S164" s="2">
        <f t="shared" ref="S164:S182" si="15">R164/(N164*0.92)</f>
        <v>0.89673913043478259</v>
      </c>
    </row>
    <row r="165" spans="1:19" x14ac:dyDescent="0.25">
      <c r="A165" s="201"/>
      <c r="B165" s="182"/>
      <c r="C165" s="182"/>
      <c r="D165" s="182"/>
      <c r="E165" s="182"/>
      <c r="F165" s="172"/>
      <c r="G165" s="173"/>
      <c r="H165" s="172"/>
      <c r="I165" s="173"/>
      <c r="J165" s="182"/>
      <c r="K165" s="88"/>
      <c r="L165" s="182"/>
      <c r="M165" s="18" t="s">
        <v>738</v>
      </c>
      <c r="N165" s="17">
        <v>250</v>
      </c>
      <c r="O165" s="91">
        <v>38.4</v>
      </c>
      <c r="P165" s="103"/>
      <c r="Q165" s="103"/>
      <c r="R165" s="103">
        <f t="shared" si="13"/>
        <v>38.4</v>
      </c>
      <c r="S165" s="2">
        <f t="shared" si="15"/>
        <v>0.16695652173913042</v>
      </c>
    </row>
    <row r="166" spans="1:19" x14ac:dyDescent="0.25">
      <c r="A166" s="201"/>
      <c r="B166" s="182"/>
      <c r="C166" s="182"/>
      <c r="D166" s="182"/>
      <c r="E166" s="182"/>
      <c r="F166" s="172"/>
      <c r="G166" s="173"/>
      <c r="H166" s="172"/>
      <c r="I166" s="173"/>
      <c r="J166" s="182"/>
      <c r="K166" s="88"/>
      <c r="L166" s="182"/>
      <c r="M166" s="18" t="s">
        <v>739</v>
      </c>
      <c r="N166" s="17">
        <v>250</v>
      </c>
      <c r="O166" s="91">
        <v>56.8</v>
      </c>
      <c r="P166" s="103"/>
      <c r="Q166" s="103"/>
      <c r="R166" s="103">
        <f t="shared" si="13"/>
        <v>56.8</v>
      </c>
      <c r="S166" s="2">
        <f t="shared" si="15"/>
        <v>0.24695652173913044</v>
      </c>
    </row>
    <row r="167" spans="1:19" x14ac:dyDescent="0.25">
      <c r="A167" s="201"/>
      <c r="B167" s="182"/>
      <c r="C167" s="182"/>
      <c r="D167" s="182"/>
      <c r="E167" s="182"/>
      <c r="F167" s="172"/>
      <c r="G167" s="173"/>
      <c r="H167" s="172"/>
      <c r="I167" s="173"/>
      <c r="J167" s="182"/>
      <c r="K167" s="88"/>
      <c r="L167" s="182"/>
      <c r="M167" s="18" t="s">
        <v>740</v>
      </c>
      <c r="N167" s="17">
        <v>160</v>
      </c>
      <c r="O167" s="91">
        <v>36</v>
      </c>
      <c r="P167" s="103"/>
      <c r="Q167" s="103"/>
      <c r="R167" s="103">
        <f t="shared" si="13"/>
        <v>36</v>
      </c>
      <c r="S167" s="2">
        <f t="shared" si="15"/>
        <v>0.24456521739130432</v>
      </c>
    </row>
    <row r="168" spans="1:19" x14ac:dyDescent="0.25">
      <c r="A168" s="201"/>
      <c r="B168" s="182"/>
      <c r="C168" s="182"/>
      <c r="D168" s="182"/>
      <c r="E168" s="182"/>
      <c r="F168" s="172"/>
      <c r="G168" s="173"/>
      <c r="H168" s="172"/>
      <c r="I168" s="173"/>
      <c r="J168" s="182"/>
      <c r="K168" s="88"/>
      <c r="L168" s="182"/>
      <c r="M168" s="18" t="s">
        <v>741</v>
      </c>
      <c r="N168" s="17">
        <v>160</v>
      </c>
      <c r="O168" s="91">
        <v>18</v>
      </c>
      <c r="P168" s="103"/>
      <c r="Q168" s="103">
        <f>5</f>
        <v>5</v>
      </c>
      <c r="R168" s="103">
        <f t="shared" si="13"/>
        <v>23</v>
      </c>
      <c r="S168" s="2">
        <f t="shared" si="15"/>
        <v>0.15624999999999997</v>
      </c>
    </row>
    <row r="169" spans="1:19" x14ac:dyDescent="0.25">
      <c r="A169" s="201"/>
      <c r="B169" s="182"/>
      <c r="C169" s="182"/>
      <c r="D169" s="182"/>
      <c r="E169" s="182"/>
      <c r="F169" s="172"/>
      <c r="G169" s="173"/>
      <c r="H169" s="172"/>
      <c r="I169" s="173"/>
      <c r="J169" s="182"/>
      <c r="K169" s="88"/>
      <c r="L169" s="182"/>
      <c r="M169" s="18" t="s">
        <v>742</v>
      </c>
      <c r="N169" s="17">
        <v>160</v>
      </c>
      <c r="O169" s="91">
        <v>9</v>
      </c>
      <c r="P169" s="103"/>
      <c r="Q169" s="103"/>
      <c r="R169" s="103">
        <f t="shared" si="13"/>
        <v>9</v>
      </c>
      <c r="S169" s="2">
        <f t="shared" si="15"/>
        <v>6.1141304347826081E-2</v>
      </c>
    </row>
    <row r="170" spans="1:19" x14ac:dyDescent="0.25">
      <c r="A170" s="201"/>
      <c r="B170" s="182"/>
      <c r="C170" s="182"/>
      <c r="D170" s="182"/>
      <c r="E170" s="182"/>
      <c r="F170" s="172"/>
      <c r="G170" s="173"/>
      <c r="H170" s="172"/>
      <c r="I170" s="173"/>
      <c r="J170" s="182"/>
      <c r="K170" s="88"/>
      <c r="L170" s="182"/>
      <c r="M170" s="18" t="s">
        <v>743</v>
      </c>
      <c r="N170" s="17">
        <v>160</v>
      </c>
      <c r="O170" s="91">
        <v>8</v>
      </c>
      <c r="P170" s="103"/>
      <c r="Q170" s="103"/>
      <c r="R170" s="103">
        <f t="shared" si="13"/>
        <v>8</v>
      </c>
      <c r="S170" s="2">
        <f t="shared" si="15"/>
        <v>5.4347826086956513E-2</v>
      </c>
    </row>
    <row r="171" spans="1:19" x14ac:dyDescent="0.25">
      <c r="A171" s="201"/>
      <c r="B171" s="182"/>
      <c r="C171" s="182"/>
      <c r="D171" s="182"/>
      <c r="E171" s="182"/>
      <c r="F171" s="172"/>
      <c r="G171" s="173"/>
      <c r="H171" s="172"/>
      <c r="I171" s="173"/>
      <c r="J171" s="182"/>
      <c r="K171" s="88"/>
      <c r="L171" s="182"/>
      <c r="M171" s="18" t="s">
        <v>744</v>
      </c>
      <c r="N171" s="17">
        <v>160</v>
      </c>
      <c r="O171" s="91">
        <v>20.399999999999999</v>
      </c>
      <c r="P171" s="103"/>
      <c r="Q171" s="103"/>
      <c r="R171" s="103">
        <f t="shared" si="13"/>
        <v>20.399999999999999</v>
      </c>
      <c r="S171" s="2">
        <f t="shared" si="15"/>
        <v>0.13858695652173911</v>
      </c>
    </row>
    <row r="172" spans="1:19" x14ac:dyDescent="0.25">
      <c r="A172" s="201"/>
      <c r="B172" s="182"/>
      <c r="C172" s="182"/>
      <c r="D172" s="182"/>
      <c r="E172" s="182"/>
      <c r="F172" s="172"/>
      <c r="G172" s="173"/>
      <c r="H172" s="172"/>
      <c r="I172" s="173"/>
      <c r="J172" s="182"/>
      <c r="K172" s="88"/>
      <c r="L172" s="182"/>
      <c r="M172" s="18" t="s">
        <v>745</v>
      </c>
      <c r="N172" s="17">
        <v>160</v>
      </c>
      <c r="O172" s="91">
        <v>25.2</v>
      </c>
      <c r="P172" s="103"/>
      <c r="Q172" s="103"/>
      <c r="R172" s="103">
        <f t="shared" si="13"/>
        <v>25.2</v>
      </c>
      <c r="S172" s="2">
        <f t="shared" si="15"/>
        <v>0.17119565217391303</v>
      </c>
    </row>
    <row r="173" spans="1:19" x14ac:dyDescent="0.25">
      <c r="A173" s="201"/>
      <c r="B173" s="182"/>
      <c r="C173" s="182"/>
      <c r="D173" s="182"/>
      <c r="E173" s="182"/>
      <c r="F173" s="172"/>
      <c r="G173" s="173"/>
      <c r="H173" s="172"/>
      <c r="I173" s="173"/>
      <c r="J173" s="182"/>
      <c r="K173" s="88"/>
      <c r="L173" s="182"/>
      <c r="M173" s="18" t="s">
        <v>746</v>
      </c>
      <c r="N173" s="17">
        <v>250</v>
      </c>
      <c r="O173" s="91">
        <v>14.4</v>
      </c>
      <c r="P173" s="103"/>
      <c r="Q173" s="103">
        <f>12</f>
        <v>12</v>
      </c>
      <c r="R173" s="103">
        <f t="shared" si="13"/>
        <v>26.4</v>
      </c>
      <c r="S173" s="2">
        <f t="shared" si="15"/>
        <v>0.11478260869565217</v>
      </c>
    </row>
    <row r="174" spans="1:19" x14ac:dyDescent="0.25">
      <c r="A174" s="201"/>
      <c r="B174" s="182"/>
      <c r="C174" s="182"/>
      <c r="D174" s="182"/>
      <c r="E174" s="182"/>
      <c r="F174" s="172"/>
      <c r="G174" s="173"/>
      <c r="H174" s="172"/>
      <c r="I174" s="173"/>
      <c r="J174" s="182"/>
      <c r="K174" s="88"/>
      <c r="L174" s="182"/>
      <c r="M174" s="18" t="s">
        <v>747</v>
      </c>
      <c r="N174" s="17">
        <v>250</v>
      </c>
      <c r="O174" s="91">
        <v>65</v>
      </c>
      <c r="P174" s="103"/>
      <c r="Q174" s="103">
        <f>3</f>
        <v>3</v>
      </c>
      <c r="R174" s="103">
        <f t="shared" si="13"/>
        <v>68</v>
      </c>
      <c r="S174" s="2">
        <f t="shared" si="15"/>
        <v>0.29565217391304349</v>
      </c>
    </row>
    <row r="175" spans="1:19" x14ac:dyDescent="0.25">
      <c r="A175" s="201"/>
      <c r="B175" s="182"/>
      <c r="C175" s="182"/>
      <c r="D175" s="182"/>
      <c r="E175" s="182"/>
      <c r="F175" s="172"/>
      <c r="G175" s="173"/>
      <c r="H175" s="172"/>
      <c r="I175" s="173"/>
      <c r="J175" s="182"/>
      <c r="K175" s="88"/>
      <c r="L175" s="182"/>
      <c r="M175" s="18" t="s">
        <v>748</v>
      </c>
      <c r="N175" s="17">
        <v>250</v>
      </c>
      <c r="O175" s="91">
        <v>273</v>
      </c>
      <c r="P175" s="103"/>
      <c r="Q175" s="103">
        <f>13+5</f>
        <v>18</v>
      </c>
      <c r="R175" s="103">
        <f t="shared" si="13"/>
        <v>291</v>
      </c>
      <c r="S175" s="2">
        <f t="shared" si="15"/>
        <v>1.2652173913043478</v>
      </c>
    </row>
    <row r="176" spans="1:19" x14ac:dyDescent="0.25">
      <c r="A176" s="202"/>
      <c r="B176" s="182"/>
      <c r="C176" s="182"/>
      <c r="D176" s="182"/>
      <c r="E176" s="182"/>
      <c r="F176" s="174"/>
      <c r="G176" s="175"/>
      <c r="H176" s="174"/>
      <c r="I176" s="175"/>
      <c r="J176" s="183"/>
      <c r="K176" s="88"/>
      <c r="L176" s="183"/>
      <c r="M176" s="18" t="s">
        <v>749</v>
      </c>
      <c r="N176" s="17">
        <v>250</v>
      </c>
      <c r="O176" s="91">
        <v>84</v>
      </c>
      <c r="P176" s="103"/>
      <c r="Q176" s="103"/>
      <c r="R176" s="103">
        <f t="shared" si="13"/>
        <v>84</v>
      </c>
      <c r="S176" s="2">
        <f t="shared" si="15"/>
        <v>0.36521739130434783</v>
      </c>
    </row>
    <row r="177" spans="1:19" x14ac:dyDescent="0.25">
      <c r="A177" s="203">
        <f>A150+1</f>
        <v>3</v>
      </c>
      <c r="B177" s="182"/>
      <c r="C177" s="182"/>
      <c r="D177" s="182"/>
      <c r="E177" s="182"/>
      <c r="F177" s="170" t="s">
        <v>750</v>
      </c>
      <c r="G177" s="171"/>
      <c r="H177" s="170" t="s">
        <v>709</v>
      </c>
      <c r="I177" s="171"/>
      <c r="J177" s="181"/>
      <c r="K177" s="88"/>
      <c r="L177" s="181">
        <v>0.41</v>
      </c>
      <c r="M177" s="18" t="s">
        <v>751</v>
      </c>
      <c r="N177" s="17">
        <v>250</v>
      </c>
      <c r="O177" s="91">
        <v>3</v>
      </c>
      <c r="P177" s="103"/>
      <c r="Q177" s="103"/>
      <c r="R177" s="103">
        <f t="shared" si="13"/>
        <v>3</v>
      </c>
      <c r="S177" s="2">
        <f t="shared" si="15"/>
        <v>1.3043478260869565E-2</v>
      </c>
    </row>
    <row r="178" spans="1:19" x14ac:dyDescent="0.25">
      <c r="A178" s="201"/>
      <c r="B178" s="182"/>
      <c r="C178" s="182"/>
      <c r="D178" s="182"/>
      <c r="E178" s="182"/>
      <c r="F178" s="172"/>
      <c r="G178" s="173"/>
      <c r="H178" s="172"/>
      <c r="I178" s="173"/>
      <c r="J178" s="182"/>
      <c r="K178" s="88"/>
      <c r="L178" s="182"/>
      <c r="M178" s="18" t="s">
        <v>752</v>
      </c>
      <c r="N178" s="17">
        <v>400</v>
      </c>
      <c r="O178" s="91">
        <v>46.2</v>
      </c>
      <c r="P178" s="103"/>
      <c r="Q178" s="103">
        <f>7</f>
        <v>7</v>
      </c>
      <c r="R178" s="103">
        <f t="shared" si="13"/>
        <v>53.2</v>
      </c>
      <c r="S178" s="2">
        <f t="shared" si="15"/>
        <v>0.14456521739130435</v>
      </c>
    </row>
    <row r="179" spans="1:19" x14ac:dyDescent="0.25">
      <c r="A179" s="201"/>
      <c r="B179" s="182"/>
      <c r="C179" s="182"/>
      <c r="D179" s="182"/>
      <c r="E179" s="182"/>
      <c r="F179" s="172"/>
      <c r="G179" s="173"/>
      <c r="H179" s="172"/>
      <c r="I179" s="173"/>
      <c r="J179" s="182"/>
      <c r="K179" s="91"/>
      <c r="L179" s="182"/>
      <c r="M179" s="18" t="s">
        <v>753</v>
      </c>
      <c r="N179" s="17">
        <v>630</v>
      </c>
      <c r="O179" s="91">
        <v>16.8</v>
      </c>
      <c r="P179" s="103"/>
      <c r="Q179" s="103"/>
      <c r="R179" s="103">
        <f t="shared" si="13"/>
        <v>16.8</v>
      </c>
      <c r="S179" s="2">
        <f t="shared" si="15"/>
        <v>2.8985507246376812E-2</v>
      </c>
    </row>
    <row r="180" spans="1:19" x14ac:dyDescent="0.25">
      <c r="A180" s="201"/>
      <c r="B180" s="182"/>
      <c r="C180" s="182"/>
      <c r="D180" s="182"/>
      <c r="E180" s="182"/>
      <c r="F180" s="172"/>
      <c r="G180" s="173"/>
      <c r="H180" s="172"/>
      <c r="I180" s="173"/>
      <c r="J180" s="182"/>
      <c r="K180" s="91"/>
      <c r="L180" s="182"/>
      <c r="M180" s="18" t="s">
        <v>754</v>
      </c>
      <c r="N180" s="17">
        <v>160</v>
      </c>
      <c r="O180" s="91">
        <v>24</v>
      </c>
      <c r="P180" s="103"/>
      <c r="Q180" s="103"/>
      <c r="R180" s="103">
        <f t="shared" si="13"/>
        <v>24</v>
      </c>
      <c r="S180" s="2">
        <f t="shared" si="15"/>
        <v>0.16304347826086954</v>
      </c>
    </row>
    <row r="181" spans="1:19" x14ac:dyDescent="0.25">
      <c r="A181" s="201"/>
      <c r="B181" s="182"/>
      <c r="C181" s="182"/>
      <c r="D181" s="182"/>
      <c r="E181" s="182"/>
      <c r="F181" s="172"/>
      <c r="G181" s="173"/>
      <c r="H181" s="172"/>
      <c r="I181" s="173"/>
      <c r="J181" s="182"/>
      <c r="K181" s="91"/>
      <c r="L181" s="182"/>
      <c r="M181" s="18" t="s">
        <v>755</v>
      </c>
      <c r="N181" s="17">
        <v>100</v>
      </c>
      <c r="O181" s="91">
        <v>16.8</v>
      </c>
      <c r="P181" s="103"/>
      <c r="Q181" s="103"/>
      <c r="R181" s="103">
        <f t="shared" si="13"/>
        <v>16.8</v>
      </c>
      <c r="S181" s="2">
        <f t="shared" si="15"/>
        <v>0.18260869565217391</v>
      </c>
    </row>
    <row r="182" spans="1:19" x14ac:dyDescent="0.25">
      <c r="A182" s="202"/>
      <c r="B182" s="183"/>
      <c r="C182" s="183"/>
      <c r="D182" s="183"/>
      <c r="E182" s="183"/>
      <c r="F182" s="174"/>
      <c r="G182" s="175"/>
      <c r="H182" s="174"/>
      <c r="I182" s="175"/>
      <c r="J182" s="183"/>
      <c r="K182" s="91"/>
      <c r="L182" s="183"/>
      <c r="M182" s="18" t="s">
        <v>756</v>
      </c>
      <c r="N182" s="17">
        <v>16</v>
      </c>
      <c r="O182" s="91">
        <v>11</v>
      </c>
      <c r="P182" s="103"/>
      <c r="Q182" s="103"/>
      <c r="R182" s="103">
        <f t="shared" si="13"/>
        <v>11</v>
      </c>
      <c r="S182" s="2">
        <f t="shared" si="15"/>
        <v>0.74728260869565211</v>
      </c>
    </row>
    <row r="183" spans="1:19" hidden="1" x14ac:dyDescent="0.25">
      <c r="A183" s="89"/>
      <c r="B183" s="237" t="s">
        <v>757</v>
      </c>
      <c r="C183" s="237"/>
      <c r="D183" s="237"/>
      <c r="E183" s="237"/>
      <c r="F183" s="237"/>
      <c r="G183" s="237"/>
      <c r="H183" s="237"/>
      <c r="I183" s="237"/>
      <c r="J183" s="149">
        <f>J176</f>
        <v>0</v>
      </c>
      <c r="K183" s="149"/>
      <c r="L183" s="149">
        <f>L176+L177</f>
        <v>0.41</v>
      </c>
      <c r="M183" s="149"/>
      <c r="N183" s="150"/>
      <c r="O183" s="150"/>
      <c r="P183" s="150"/>
      <c r="Q183" s="150"/>
      <c r="R183" s="150">
        <f t="shared" si="13"/>
        <v>0</v>
      </c>
      <c r="S183" s="158"/>
    </row>
    <row r="184" spans="1:19" x14ac:dyDescent="0.25">
      <c r="A184" s="89">
        <f>A177+1</f>
        <v>4</v>
      </c>
      <c r="B184" s="169" t="s">
        <v>758</v>
      </c>
      <c r="C184" s="169" t="s">
        <v>759</v>
      </c>
      <c r="D184" s="169" t="s">
        <v>760</v>
      </c>
      <c r="E184" s="181" t="s">
        <v>761</v>
      </c>
      <c r="F184" s="176" t="s">
        <v>762</v>
      </c>
      <c r="G184" s="177"/>
      <c r="H184" s="176" t="s">
        <v>709</v>
      </c>
      <c r="I184" s="177"/>
      <c r="J184" s="91"/>
      <c r="K184" s="91"/>
      <c r="L184" s="91">
        <v>2.98</v>
      </c>
      <c r="M184" s="19" t="s">
        <v>763</v>
      </c>
      <c r="N184" s="1">
        <f>2*1000</f>
        <v>2000</v>
      </c>
      <c r="O184" s="91">
        <v>341.1</v>
      </c>
      <c r="P184" s="103"/>
      <c r="Q184" s="103">
        <f>1+4+5+5+7.5+13</f>
        <v>35.5</v>
      </c>
      <c r="R184" s="103">
        <f t="shared" si="13"/>
        <v>376.6</v>
      </c>
      <c r="S184" s="2">
        <f t="shared" ref="S184:S221" si="16">R184/(N184*0.92)</f>
        <v>0.20467391304347826</v>
      </c>
    </row>
    <row r="185" spans="1:19" x14ac:dyDescent="0.25">
      <c r="A185" s="203">
        <f>A184+1</f>
        <v>5</v>
      </c>
      <c r="B185" s="169"/>
      <c r="C185" s="169"/>
      <c r="D185" s="169"/>
      <c r="E185" s="182"/>
      <c r="F185" s="169" t="s">
        <v>764</v>
      </c>
      <c r="G185" s="169"/>
      <c r="H185" s="170" t="s">
        <v>709</v>
      </c>
      <c r="I185" s="171"/>
      <c r="J185" s="267"/>
      <c r="K185" s="91"/>
      <c r="L185" s="267">
        <v>7.73</v>
      </c>
      <c r="M185" s="20" t="s">
        <v>765</v>
      </c>
      <c r="N185" s="86">
        <f>2*400</f>
        <v>800</v>
      </c>
      <c r="O185" s="91">
        <v>116.7</v>
      </c>
      <c r="P185" s="103"/>
      <c r="Q185" s="103"/>
      <c r="R185" s="103">
        <f t="shared" si="13"/>
        <v>116.7</v>
      </c>
      <c r="S185" s="2">
        <f t="shared" si="16"/>
        <v>0.15855978260869566</v>
      </c>
    </row>
    <row r="186" spans="1:19" x14ac:dyDescent="0.25">
      <c r="A186" s="201"/>
      <c r="B186" s="169"/>
      <c r="C186" s="169"/>
      <c r="D186" s="169"/>
      <c r="E186" s="182"/>
      <c r="F186" s="169"/>
      <c r="G186" s="169"/>
      <c r="H186" s="172"/>
      <c r="I186" s="173"/>
      <c r="J186" s="268"/>
      <c r="K186" s="91"/>
      <c r="L186" s="268"/>
      <c r="M186" s="20" t="s">
        <v>766</v>
      </c>
      <c r="N186" s="1">
        <f>2*630</f>
        <v>1260</v>
      </c>
      <c r="O186" s="91">
        <v>168</v>
      </c>
      <c r="P186" s="103"/>
      <c r="Q186" s="103"/>
      <c r="R186" s="103">
        <f t="shared" si="13"/>
        <v>168</v>
      </c>
      <c r="S186" s="2">
        <f t="shared" si="16"/>
        <v>0.14492753623188406</v>
      </c>
    </row>
    <row r="187" spans="1:19" x14ac:dyDescent="0.25">
      <c r="A187" s="201"/>
      <c r="B187" s="169"/>
      <c r="C187" s="169"/>
      <c r="D187" s="169"/>
      <c r="E187" s="182"/>
      <c r="F187" s="169"/>
      <c r="G187" s="169"/>
      <c r="H187" s="172"/>
      <c r="I187" s="173"/>
      <c r="J187" s="268"/>
      <c r="K187" s="91"/>
      <c r="L187" s="268"/>
      <c r="M187" s="20" t="s">
        <v>767</v>
      </c>
      <c r="N187" s="1">
        <f t="shared" ref="N187:N188" si="17">2*630</f>
        <v>1260</v>
      </c>
      <c r="O187" s="91">
        <v>342</v>
      </c>
      <c r="P187" s="103"/>
      <c r="Q187" s="103"/>
      <c r="R187" s="103">
        <f t="shared" si="13"/>
        <v>342</v>
      </c>
      <c r="S187" s="2">
        <f t="shared" si="16"/>
        <v>0.29503105590062112</v>
      </c>
    </row>
    <row r="188" spans="1:19" x14ac:dyDescent="0.25">
      <c r="A188" s="201"/>
      <c r="B188" s="169"/>
      <c r="C188" s="169"/>
      <c r="D188" s="169"/>
      <c r="E188" s="182"/>
      <c r="F188" s="169"/>
      <c r="G188" s="169"/>
      <c r="H188" s="172"/>
      <c r="I188" s="173"/>
      <c r="J188" s="268"/>
      <c r="K188" s="91"/>
      <c r="L188" s="268"/>
      <c r="M188" s="20" t="s">
        <v>768</v>
      </c>
      <c r="N188" s="1">
        <f t="shared" si="17"/>
        <v>1260</v>
      </c>
      <c r="O188" s="91">
        <v>105.6</v>
      </c>
      <c r="P188" s="103"/>
      <c r="Q188" s="103"/>
      <c r="R188" s="103">
        <f t="shared" si="13"/>
        <v>105.6</v>
      </c>
      <c r="S188" s="2">
        <f t="shared" si="16"/>
        <v>9.1097308488612833E-2</v>
      </c>
    </row>
    <row r="189" spans="1:19" x14ac:dyDescent="0.25">
      <c r="A189" s="201"/>
      <c r="B189" s="169"/>
      <c r="C189" s="169"/>
      <c r="D189" s="169"/>
      <c r="E189" s="182"/>
      <c r="F189" s="169"/>
      <c r="G189" s="169"/>
      <c r="H189" s="172"/>
      <c r="I189" s="173"/>
      <c r="J189" s="268"/>
      <c r="K189" s="91"/>
      <c r="L189" s="268"/>
      <c r="M189" s="20" t="s">
        <v>769</v>
      </c>
      <c r="N189" s="1">
        <f>2*1000</f>
        <v>2000</v>
      </c>
      <c r="O189" s="91">
        <v>145.80000000000001</v>
      </c>
      <c r="P189" s="103"/>
      <c r="Q189" s="103"/>
      <c r="R189" s="103">
        <f t="shared" si="13"/>
        <v>145.80000000000001</v>
      </c>
      <c r="S189" s="2">
        <f t="shared" si="16"/>
        <v>7.9239130434782618E-2</v>
      </c>
    </row>
    <row r="190" spans="1:19" x14ac:dyDescent="0.25">
      <c r="A190" s="201"/>
      <c r="B190" s="169"/>
      <c r="C190" s="169"/>
      <c r="D190" s="169"/>
      <c r="E190" s="182"/>
      <c r="F190" s="169"/>
      <c r="G190" s="169"/>
      <c r="H190" s="172"/>
      <c r="I190" s="173"/>
      <c r="J190" s="268"/>
      <c r="K190" s="91"/>
      <c r="L190" s="268"/>
      <c r="M190" s="20" t="s">
        <v>770</v>
      </c>
      <c r="N190" s="1">
        <f>2*630</f>
        <v>1260</v>
      </c>
      <c r="O190" s="91">
        <v>116</v>
      </c>
      <c r="P190" s="103"/>
      <c r="Q190" s="103"/>
      <c r="R190" s="103">
        <f t="shared" si="13"/>
        <v>116</v>
      </c>
      <c r="S190" s="2">
        <f t="shared" si="16"/>
        <v>0.10006901311249138</v>
      </c>
    </row>
    <row r="191" spans="1:19" x14ac:dyDescent="0.25">
      <c r="A191" s="201"/>
      <c r="B191" s="169"/>
      <c r="C191" s="169"/>
      <c r="D191" s="169"/>
      <c r="E191" s="182"/>
      <c r="F191" s="169"/>
      <c r="G191" s="169"/>
      <c r="H191" s="172"/>
      <c r="I191" s="173"/>
      <c r="J191" s="268"/>
      <c r="K191" s="91"/>
      <c r="L191" s="268"/>
      <c r="M191" s="20" t="s">
        <v>771</v>
      </c>
      <c r="N191" s="86">
        <f>2*400</f>
        <v>800</v>
      </c>
      <c r="O191" s="91">
        <v>114.8</v>
      </c>
      <c r="P191" s="103"/>
      <c r="Q191" s="103"/>
      <c r="R191" s="103">
        <f t="shared" si="13"/>
        <v>114.8</v>
      </c>
      <c r="S191" s="2">
        <f t="shared" si="16"/>
        <v>0.15597826086956521</v>
      </c>
    </row>
    <row r="192" spans="1:19" x14ac:dyDescent="0.25">
      <c r="A192" s="201"/>
      <c r="B192" s="169"/>
      <c r="C192" s="169"/>
      <c r="D192" s="169"/>
      <c r="E192" s="182"/>
      <c r="F192" s="169"/>
      <c r="G192" s="169"/>
      <c r="H192" s="172"/>
      <c r="I192" s="173"/>
      <c r="J192" s="268"/>
      <c r="K192" s="91"/>
      <c r="L192" s="268"/>
      <c r="M192" s="20" t="s">
        <v>772</v>
      </c>
      <c r="N192" s="1">
        <f t="shared" ref="N192:N193" si="18">2*630</f>
        <v>1260</v>
      </c>
      <c r="O192" s="91">
        <v>122</v>
      </c>
      <c r="P192" s="103"/>
      <c r="Q192" s="103"/>
      <c r="R192" s="103">
        <f t="shared" si="13"/>
        <v>122</v>
      </c>
      <c r="S192" s="2">
        <f t="shared" si="16"/>
        <v>0.10524499654934437</v>
      </c>
    </row>
    <row r="193" spans="1:19" x14ac:dyDescent="0.25">
      <c r="A193" s="201"/>
      <c r="B193" s="169"/>
      <c r="C193" s="169"/>
      <c r="D193" s="169"/>
      <c r="E193" s="182"/>
      <c r="F193" s="169"/>
      <c r="G193" s="169"/>
      <c r="H193" s="172"/>
      <c r="I193" s="173"/>
      <c r="J193" s="268"/>
      <c r="K193" s="91"/>
      <c r="L193" s="268"/>
      <c r="M193" s="20" t="s">
        <v>773</v>
      </c>
      <c r="N193" s="1">
        <f t="shared" si="18"/>
        <v>1260</v>
      </c>
      <c r="O193" s="91">
        <v>27</v>
      </c>
      <c r="P193" s="103"/>
      <c r="Q193" s="103"/>
      <c r="R193" s="103">
        <f t="shared" si="13"/>
        <v>27</v>
      </c>
      <c r="S193" s="2">
        <f t="shared" si="16"/>
        <v>2.3291925465838508E-2</v>
      </c>
    </row>
    <row r="194" spans="1:19" x14ac:dyDescent="0.25">
      <c r="A194" s="201"/>
      <c r="B194" s="169"/>
      <c r="C194" s="169"/>
      <c r="D194" s="169"/>
      <c r="E194" s="182"/>
      <c r="F194" s="169"/>
      <c r="G194" s="169"/>
      <c r="H194" s="172"/>
      <c r="I194" s="173"/>
      <c r="J194" s="268"/>
      <c r="K194" s="91"/>
      <c r="L194" s="268"/>
      <c r="M194" s="20" t="s">
        <v>774</v>
      </c>
      <c r="N194" s="86">
        <f>2*400</f>
        <v>800</v>
      </c>
      <c r="O194" s="91">
        <v>104</v>
      </c>
      <c r="P194" s="103"/>
      <c r="Q194" s="103"/>
      <c r="R194" s="103">
        <f t="shared" si="13"/>
        <v>104</v>
      </c>
      <c r="S194" s="2">
        <f t="shared" si="16"/>
        <v>0.14130434782608695</v>
      </c>
    </row>
    <row r="195" spans="1:19" x14ac:dyDescent="0.25">
      <c r="A195" s="201"/>
      <c r="B195" s="169"/>
      <c r="C195" s="169"/>
      <c r="D195" s="169"/>
      <c r="E195" s="182"/>
      <c r="F195" s="169"/>
      <c r="G195" s="169"/>
      <c r="H195" s="172"/>
      <c r="I195" s="173"/>
      <c r="J195" s="268"/>
      <c r="K195" s="91"/>
      <c r="L195" s="268"/>
      <c r="M195" s="20" t="s">
        <v>775</v>
      </c>
      <c r="N195" s="1">
        <f t="shared" ref="N195:N196" si="19">2*1000</f>
        <v>2000</v>
      </c>
      <c r="O195" s="91">
        <v>190.5</v>
      </c>
      <c r="P195" s="103"/>
      <c r="Q195" s="103"/>
      <c r="R195" s="103">
        <f t="shared" si="13"/>
        <v>190.5</v>
      </c>
      <c r="S195" s="2">
        <f t="shared" si="16"/>
        <v>0.10353260869565217</v>
      </c>
    </row>
    <row r="196" spans="1:19" x14ac:dyDescent="0.25">
      <c r="A196" s="201"/>
      <c r="B196" s="169"/>
      <c r="C196" s="169"/>
      <c r="D196" s="169"/>
      <c r="E196" s="182"/>
      <c r="F196" s="169"/>
      <c r="G196" s="169"/>
      <c r="H196" s="172"/>
      <c r="I196" s="173"/>
      <c r="J196" s="268"/>
      <c r="K196" s="91"/>
      <c r="L196" s="268"/>
      <c r="M196" s="20" t="s">
        <v>776</v>
      </c>
      <c r="N196" s="1">
        <f t="shared" si="19"/>
        <v>2000</v>
      </c>
      <c r="O196" s="91">
        <v>130</v>
      </c>
      <c r="P196" s="103"/>
      <c r="Q196" s="103"/>
      <c r="R196" s="103">
        <f t="shared" si="13"/>
        <v>130</v>
      </c>
      <c r="S196" s="2">
        <f t="shared" si="16"/>
        <v>7.0652173913043473E-2</v>
      </c>
    </row>
    <row r="197" spans="1:19" x14ac:dyDescent="0.25">
      <c r="A197" s="201"/>
      <c r="B197" s="169"/>
      <c r="C197" s="169"/>
      <c r="D197" s="169"/>
      <c r="E197" s="182"/>
      <c r="F197" s="169"/>
      <c r="G197" s="169"/>
      <c r="H197" s="172"/>
      <c r="I197" s="173"/>
      <c r="J197" s="268"/>
      <c r="K197" s="91"/>
      <c r="L197" s="268"/>
      <c r="M197" s="20" t="s">
        <v>777</v>
      </c>
      <c r="N197" s="1">
        <f>2*630</f>
        <v>1260</v>
      </c>
      <c r="O197" s="91">
        <v>63.8</v>
      </c>
      <c r="P197" s="103"/>
      <c r="Q197" s="103"/>
      <c r="R197" s="103">
        <f t="shared" si="13"/>
        <v>63.8</v>
      </c>
      <c r="S197" s="2">
        <f t="shared" si="16"/>
        <v>5.5037957211870249E-2</v>
      </c>
    </row>
    <row r="198" spans="1:19" x14ac:dyDescent="0.25">
      <c r="A198" s="201"/>
      <c r="B198" s="169"/>
      <c r="C198" s="169"/>
      <c r="D198" s="169"/>
      <c r="E198" s="182"/>
      <c r="F198" s="169"/>
      <c r="G198" s="169"/>
      <c r="H198" s="172"/>
      <c r="I198" s="173"/>
      <c r="J198" s="268"/>
      <c r="K198" s="91"/>
      <c r="L198" s="268"/>
      <c r="M198" s="20" t="s">
        <v>778</v>
      </c>
      <c r="N198" s="86">
        <f t="shared" ref="N198:N200" si="20">2*400</f>
        <v>800</v>
      </c>
      <c r="O198" s="91">
        <v>36.4</v>
      </c>
      <c r="P198" s="103"/>
      <c r="Q198" s="103"/>
      <c r="R198" s="103">
        <f t="shared" si="13"/>
        <v>36.4</v>
      </c>
      <c r="S198" s="2">
        <f t="shared" si="16"/>
        <v>4.9456521739130434E-2</v>
      </c>
    </row>
    <row r="199" spans="1:19" x14ac:dyDescent="0.25">
      <c r="A199" s="201"/>
      <c r="B199" s="169"/>
      <c r="C199" s="169"/>
      <c r="D199" s="169"/>
      <c r="E199" s="182"/>
      <c r="F199" s="169"/>
      <c r="G199" s="169"/>
      <c r="H199" s="172"/>
      <c r="I199" s="173"/>
      <c r="J199" s="268"/>
      <c r="K199" s="91"/>
      <c r="L199" s="268"/>
      <c r="M199" s="20" t="s">
        <v>779</v>
      </c>
      <c r="N199" s="86">
        <f t="shared" si="20"/>
        <v>800</v>
      </c>
      <c r="O199" s="91">
        <v>52</v>
      </c>
      <c r="P199" s="103"/>
      <c r="Q199" s="103"/>
      <c r="R199" s="103">
        <f t="shared" si="13"/>
        <v>52</v>
      </c>
      <c r="S199" s="2">
        <f t="shared" si="16"/>
        <v>7.0652173913043473E-2</v>
      </c>
    </row>
    <row r="200" spans="1:19" x14ac:dyDescent="0.25">
      <c r="A200" s="201"/>
      <c r="B200" s="169"/>
      <c r="C200" s="169"/>
      <c r="D200" s="169"/>
      <c r="E200" s="182"/>
      <c r="F200" s="169"/>
      <c r="G200" s="169"/>
      <c r="H200" s="172"/>
      <c r="I200" s="173"/>
      <c r="J200" s="268"/>
      <c r="K200" s="91"/>
      <c r="L200" s="268"/>
      <c r="M200" s="20" t="s">
        <v>780</v>
      </c>
      <c r="N200" s="86">
        <f t="shared" si="20"/>
        <v>800</v>
      </c>
      <c r="O200" s="91">
        <v>54</v>
      </c>
      <c r="P200" s="103"/>
      <c r="Q200" s="103"/>
      <c r="R200" s="103">
        <f t="shared" ref="R200:R222" si="21">P200+Q200+O200</f>
        <v>54</v>
      </c>
      <c r="S200" s="2">
        <f t="shared" si="16"/>
        <v>7.3369565217391311E-2</v>
      </c>
    </row>
    <row r="201" spans="1:19" x14ac:dyDescent="0.25">
      <c r="A201" s="202"/>
      <c r="B201" s="169"/>
      <c r="C201" s="169"/>
      <c r="D201" s="169"/>
      <c r="E201" s="182"/>
      <c r="F201" s="169"/>
      <c r="G201" s="169"/>
      <c r="H201" s="174"/>
      <c r="I201" s="175"/>
      <c r="J201" s="269"/>
      <c r="K201" s="91"/>
      <c r="L201" s="269"/>
      <c r="M201" s="20" t="s">
        <v>781</v>
      </c>
      <c r="N201" s="1">
        <f>2*630</f>
        <v>1260</v>
      </c>
      <c r="O201" s="91">
        <v>50</v>
      </c>
      <c r="P201" s="103"/>
      <c r="Q201" s="103">
        <v>90</v>
      </c>
      <c r="R201" s="103">
        <f t="shared" si="21"/>
        <v>140</v>
      </c>
      <c r="S201" s="2">
        <f t="shared" si="16"/>
        <v>0.12077294685990338</v>
      </c>
    </row>
    <row r="202" spans="1:19" x14ac:dyDescent="0.25">
      <c r="A202" s="203">
        <f>A185+1</f>
        <v>6</v>
      </c>
      <c r="B202" s="169"/>
      <c r="C202" s="169"/>
      <c r="D202" s="169"/>
      <c r="E202" s="182"/>
      <c r="F202" s="169" t="s">
        <v>782</v>
      </c>
      <c r="G202" s="169"/>
      <c r="H202" s="170" t="s">
        <v>709</v>
      </c>
      <c r="I202" s="171"/>
      <c r="J202" s="267"/>
      <c r="K202" s="91"/>
      <c r="L202" s="267">
        <v>4.34</v>
      </c>
      <c r="M202" s="20" t="s">
        <v>783</v>
      </c>
      <c r="N202" s="1">
        <v>400</v>
      </c>
      <c r="O202" s="91">
        <v>56.8</v>
      </c>
      <c r="P202" s="103"/>
      <c r="Q202" s="103"/>
      <c r="R202" s="103">
        <f t="shared" si="21"/>
        <v>56.8</v>
      </c>
      <c r="S202" s="2">
        <f t="shared" si="16"/>
        <v>0.15434782608695652</v>
      </c>
    </row>
    <row r="203" spans="1:19" x14ac:dyDescent="0.25">
      <c r="A203" s="201"/>
      <c r="B203" s="169"/>
      <c r="C203" s="169"/>
      <c r="D203" s="169"/>
      <c r="E203" s="182"/>
      <c r="F203" s="169"/>
      <c r="G203" s="169"/>
      <c r="H203" s="172"/>
      <c r="I203" s="173"/>
      <c r="J203" s="268"/>
      <c r="K203" s="91"/>
      <c r="L203" s="268"/>
      <c r="M203" s="20" t="s">
        <v>784</v>
      </c>
      <c r="N203" s="1">
        <v>250</v>
      </c>
      <c r="O203" s="91">
        <v>74.400000000000006</v>
      </c>
      <c r="P203" s="103"/>
      <c r="Q203" s="103"/>
      <c r="R203" s="103">
        <f t="shared" si="21"/>
        <v>74.400000000000006</v>
      </c>
      <c r="S203" s="2">
        <f t="shared" si="16"/>
        <v>0.32347826086956522</v>
      </c>
    </row>
    <row r="204" spans="1:19" x14ac:dyDescent="0.25">
      <c r="A204" s="201"/>
      <c r="B204" s="169"/>
      <c r="C204" s="169"/>
      <c r="D204" s="169"/>
      <c r="E204" s="182"/>
      <c r="F204" s="169"/>
      <c r="G204" s="169"/>
      <c r="H204" s="172"/>
      <c r="I204" s="173"/>
      <c r="J204" s="268"/>
      <c r="K204" s="91"/>
      <c r="L204" s="268"/>
      <c r="M204" s="20" t="s">
        <v>785</v>
      </c>
      <c r="N204" s="1">
        <f>2*630</f>
        <v>1260</v>
      </c>
      <c r="O204" s="91">
        <v>73.2</v>
      </c>
      <c r="P204" s="103"/>
      <c r="Q204" s="103"/>
      <c r="R204" s="103">
        <f t="shared" si="21"/>
        <v>73.2</v>
      </c>
      <c r="S204" s="2">
        <f t="shared" si="16"/>
        <v>6.3146997929606624E-2</v>
      </c>
    </row>
    <row r="205" spans="1:19" x14ac:dyDescent="0.25">
      <c r="A205" s="201"/>
      <c r="B205" s="169"/>
      <c r="C205" s="169"/>
      <c r="D205" s="169"/>
      <c r="E205" s="182"/>
      <c r="F205" s="169"/>
      <c r="G205" s="169"/>
      <c r="H205" s="172"/>
      <c r="I205" s="173"/>
      <c r="J205" s="268"/>
      <c r="K205" s="91"/>
      <c r="L205" s="268"/>
      <c r="M205" s="20" t="s">
        <v>786</v>
      </c>
      <c r="N205" s="1">
        <v>160</v>
      </c>
      <c r="O205" s="91">
        <v>49.1</v>
      </c>
      <c r="P205" s="103"/>
      <c r="Q205" s="103"/>
      <c r="R205" s="103">
        <f t="shared" si="21"/>
        <v>49.1</v>
      </c>
      <c r="S205" s="2">
        <f t="shared" si="16"/>
        <v>0.33355978260869562</v>
      </c>
    </row>
    <row r="206" spans="1:19" x14ac:dyDescent="0.25">
      <c r="A206" s="201"/>
      <c r="B206" s="169"/>
      <c r="C206" s="169"/>
      <c r="D206" s="169"/>
      <c r="E206" s="182"/>
      <c r="F206" s="169"/>
      <c r="G206" s="169"/>
      <c r="H206" s="172"/>
      <c r="I206" s="173"/>
      <c r="J206" s="268"/>
      <c r="K206" s="91"/>
      <c r="L206" s="268"/>
      <c r="M206" s="20" t="s">
        <v>787</v>
      </c>
      <c r="N206" s="86">
        <f>2*400</f>
        <v>800</v>
      </c>
      <c r="O206" s="91">
        <v>134.69999999999999</v>
      </c>
      <c r="P206" s="103"/>
      <c r="Q206" s="103"/>
      <c r="R206" s="103">
        <f t="shared" si="21"/>
        <v>134.69999999999999</v>
      </c>
      <c r="S206" s="2">
        <f t="shared" si="16"/>
        <v>0.18301630434782606</v>
      </c>
    </row>
    <row r="207" spans="1:19" x14ac:dyDescent="0.25">
      <c r="A207" s="201"/>
      <c r="B207" s="169"/>
      <c r="C207" s="169"/>
      <c r="D207" s="169"/>
      <c r="E207" s="182"/>
      <c r="F207" s="169"/>
      <c r="G207" s="169"/>
      <c r="H207" s="172"/>
      <c r="I207" s="173"/>
      <c r="J207" s="268"/>
      <c r="K207" s="91"/>
      <c r="L207" s="268"/>
      <c r="M207" s="20" t="s">
        <v>788</v>
      </c>
      <c r="N207" s="1">
        <v>25</v>
      </c>
      <c r="O207" s="91">
        <v>4.2</v>
      </c>
      <c r="P207" s="103"/>
      <c r="Q207" s="103"/>
      <c r="R207" s="103">
        <f t="shared" si="21"/>
        <v>4.2</v>
      </c>
      <c r="S207" s="2">
        <f t="shared" si="16"/>
        <v>0.18260869565217391</v>
      </c>
    </row>
    <row r="208" spans="1:19" x14ac:dyDescent="0.25">
      <c r="A208" s="201"/>
      <c r="B208" s="169"/>
      <c r="C208" s="169"/>
      <c r="D208" s="169"/>
      <c r="E208" s="182"/>
      <c r="F208" s="169"/>
      <c r="G208" s="169"/>
      <c r="H208" s="172"/>
      <c r="I208" s="173"/>
      <c r="J208" s="268"/>
      <c r="K208" s="91"/>
      <c r="L208" s="268"/>
      <c r="M208" s="20" t="s">
        <v>789</v>
      </c>
      <c r="N208" s="86">
        <f t="shared" ref="N208:N209" si="22">2*400</f>
        <v>800</v>
      </c>
      <c r="O208" s="91">
        <v>138</v>
      </c>
      <c r="P208" s="103"/>
      <c r="Q208" s="103"/>
      <c r="R208" s="103">
        <f t="shared" si="21"/>
        <v>138</v>
      </c>
      <c r="S208" s="2">
        <f t="shared" si="16"/>
        <v>0.1875</v>
      </c>
    </row>
    <row r="209" spans="1:19" x14ac:dyDescent="0.25">
      <c r="A209" s="201"/>
      <c r="B209" s="169"/>
      <c r="C209" s="169"/>
      <c r="D209" s="169"/>
      <c r="E209" s="182"/>
      <c r="F209" s="169"/>
      <c r="G209" s="169"/>
      <c r="H209" s="172"/>
      <c r="I209" s="173"/>
      <c r="J209" s="268"/>
      <c r="K209" s="91"/>
      <c r="L209" s="268"/>
      <c r="M209" s="20" t="s">
        <v>790</v>
      </c>
      <c r="N209" s="86">
        <f t="shared" si="22"/>
        <v>800</v>
      </c>
      <c r="O209" s="91">
        <v>34</v>
      </c>
      <c r="P209" s="103"/>
      <c r="Q209" s="103">
        <f>15</f>
        <v>15</v>
      </c>
      <c r="R209" s="103">
        <f t="shared" si="21"/>
        <v>49</v>
      </c>
      <c r="S209" s="2">
        <f t="shared" si="16"/>
        <v>6.6576086956521743E-2</v>
      </c>
    </row>
    <row r="210" spans="1:19" x14ac:dyDescent="0.25">
      <c r="A210" s="201"/>
      <c r="B210" s="169"/>
      <c r="C210" s="169"/>
      <c r="D210" s="169"/>
      <c r="E210" s="182"/>
      <c r="F210" s="169"/>
      <c r="G210" s="169"/>
      <c r="H210" s="172"/>
      <c r="I210" s="173"/>
      <c r="J210" s="268"/>
      <c r="K210" s="91"/>
      <c r="L210" s="268"/>
      <c r="M210" s="20" t="s">
        <v>791</v>
      </c>
      <c r="N210" s="1">
        <f>2*630</f>
        <v>1260</v>
      </c>
      <c r="O210" s="91">
        <v>81.599999999999994</v>
      </c>
      <c r="P210" s="103"/>
      <c r="Q210" s="103">
        <f>15</f>
        <v>15</v>
      </c>
      <c r="R210" s="103">
        <f t="shared" si="21"/>
        <v>96.6</v>
      </c>
      <c r="S210" s="2">
        <f t="shared" si="16"/>
        <v>8.3333333333333329E-2</v>
      </c>
    </row>
    <row r="211" spans="1:19" x14ac:dyDescent="0.25">
      <c r="A211" s="201"/>
      <c r="B211" s="169"/>
      <c r="C211" s="169"/>
      <c r="D211" s="169"/>
      <c r="E211" s="182"/>
      <c r="F211" s="169"/>
      <c r="G211" s="169"/>
      <c r="H211" s="172"/>
      <c r="I211" s="173"/>
      <c r="J211" s="268"/>
      <c r="K211" s="91"/>
      <c r="L211" s="268"/>
      <c r="M211" s="20" t="s">
        <v>792</v>
      </c>
      <c r="N211" s="86">
        <f>2*400</f>
        <v>800</v>
      </c>
      <c r="O211" s="91">
        <v>94</v>
      </c>
      <c r="P211" s="103"/>
      <c r="Q211" s="103"/>
      <c r="R211" s="103">
        <f t="shared" si="21"/>
        <v>94</v>
      </c>
      <c r="S211" s="2">
        <f t="shared" si="16"/>
        <v>0.12771739130434784</v>
      </c>
    </row>
    <row r="212" spans="1:19" x14ac:dyDescent="0.25">
      <c r="A212" s="201"/>
      <c r="B212" s="169"/>
      <c r="C212" s="169"/>
      <c r="D212" s="169"/>
      <c r="E212" s="182"/>
      <c r="F212" s="169"/>
      <c r="G212" s="169"/>
      <c r="H212" s="172"/>
      <c r="I212" s="173"/>
      <c r="J212" s="268"/>
      <c r="K212" s="91"/>
      <c r="L212" s="268"/>
      <c r="M212" s="20" t="s">
        <v>793</v>
      </c>
      <c r="N212" s="1">
        <f t="shared" ref="N212:N213" si="23">2*1000</f>
        <v>2000</v>
      </c>
      <c r="O212" s="91">
        <v>142.80000000000001</v>
      </c>
      <c r="P212" s="103"/>
      <c r="Q212" s="103"/>
      <c r="R212" s="103">
        <f t="shared" si="21"/>
        <v>142.80000000000001</v>
      </c>
      <c r="S212" s="2">
        <f t="shared" si="16"/>
        <v>7.7608695652173917E-2</v>
      </c>
    </row>
    <row r="213" spans="1:19" x14ac:dyDescent="0.25">
      <c r="A213" s="201"/>
      <c r="B213" s="169"/>
      <c r="C213" s="169"/>
      <c r="D213" s="169"/>
      <c r="E213" s="182"/>
      <c r="F213" s="169"/>
      <c r="G213" s="169"/>
      <c r="H213" s="172"/>
      <c r="I213" s="173"/>
      <c r="J213" s="268"/>
      <c r="K213" s="91"/>
      <c r="L213" s="268"/>
      <c r="M213" s="20" t="s">
        <v>794</v>
      </c>
      <c r="N213" s="1">
        <f t="shared" si="23"/>
        <v>2000</v>
      </c>
      <c r="O213" s="91">
        <v>292</v>
      </c>
      <c r="P213" s="103"/>
      <c r="Q213" s="103">
        <f>7.5+15+15+10+15+5+8+10</f>
        <v>85.5</v>
      </c>
      <c r="R213" s="103">
        <f t="shared" si="21"/>
        <v>377.5</v>
      </c>
      <c r="S213" s="2">
        <f t="shared" si="16"/>
        <v>0.20516304347826086</v>
      </c>
    </row>
    <row r="214" spans="1:19" x14ac:dyDescent="0.25">
      <c r="A214" s="201"/>
      <c r="B214" s="169"/>
      <c r="C214" s="169"/>
      <c r="D214" s="169"/>
      <c r="E214" s="182"/>
      <c r="F214" s="169"/>
      <c r="G214" s="169"/>
      <c r="H214" s="172"/>
      <c r="I214" s="173"/>
      <c r="J214" s="268"/>
      <c r="K214" s="91"/>
      <c r="L214" s="268"/>
      <c r="M214" s="20" t="s">
        <v>795</v>
      </c>
      <c r="N214" s="1">
        <f>2*1600</f>
        <v>3200</v>
      </c>
      <c r="O214" s="91">
        <v>244</v>
      </c>
      <c r="P214" s="103"/>
      <c r="Q214" s="103"/>
      <c r="R214" s="103">
        <f t="shared" si="21"/>
        <v>244</v>
      </c>
      <c r="S214" s="2">
        <f t="shared" si="16"/>
        <v>8.2880434782608689E-2</v>
      </c>
    </row>
    <row r="215" spans="1:19" x14ac:dyDescent="0.25">
      <c r="A215" s="201"/>
      <c r="B215" s="169"/>
      <c r="C215" s="169"/>
      <c r="D215" s="169"/>
      <c r="E215" s="182"/>
      <c r="F215" s="169"/>
      <c r="G215" s="169"/>
      <c r="H215" s="172"/>
      <c r="I215" s="173"/>
      <c r="J215" s="268"/>
      <c r="K215" s="91"/>
      <c r="L215" s="268"/>
      <c r="M215" s="20" t="s">
        <v>796</v>
      </c>
      <c r="N215" s="86">
        <f t="shared" ref="N215:N220" si="24">2*400</f>
        <v>800</v>
      </c>
      <c r="O215" s="91">
        <v>87.6</v>
      </c>
      <c r="P215" s="103"/>
      <c r="Q215" s="103"/>
      <c r="R215" s="103">
        <f t="shared" si="21"/>
        <v>87.6</v>
      </c>
      <c r="S215" s="2">
        <f t="shared" si="16"/>
        <v>0.11902173913043478</v>
      </c>
    </row>
    <row r="216" spans="1:19" x14ac:dyDescent="0.25">
      <c r="A216" s="201"/>
      <c r="B216" s="169"/>
      <c r="C216" s="169"/>
      <c r="D216" s="169"/>
      <c r="E216" s="182"/>
      <c r="F216" s="169"/>
      <c r="G216" s="169"/>
      <c r="H216" s="172"/>
      <c r="I216" s="173"/>
      <c r="J216" s="268"/>
      <c r="K216" s="91"/>
      <c r="L216" s="268"/>
      <c r="M216" s="20" t="s">
        <v>797</v>
      </c>
      <c r="N216" s="86">
        <f t="shared" si="24"/>
        <v>800</v>
      </c>
      <c r="O216" s="91">
        <v>34.799999999999997</v>
      </c>
      <c r="P216" s="103"/>
      <c r="Q216" s="103"/>
      <c r="R216" s="103">
        <f t="shared" si="21"/>
        <v>34.799999999999997</v>
      </c>
      <c r="S216" s="2">
        <f t="shared" si="16"/>
        <v>4.7282608695652172E-2</v>
      </c>
    </row>
    <row r="217" spans="1:19" x14ac:dyDescent="0.25">
      <c r="A217" s="201"/>
      <c r="B217" s="169"/>
      <c r="C217" s="169"/>
      <c r="D217" s="169"/>
      <c r="E217" s="182"/>
      <c r="F217" s="169"/>
      <c r="G217" s="169"/>
      <c r="H217" s="172"/>
      <c r="I217" s="173"/>
      <c r="J217" s="268"/>
      <c r="K217" s="91"/>
      <c r="L217" s="268"/>
      <c r="M217" s="20" t="s">
        <v>798</v>
      </c>
      <c r="N217" s="86">
        <f t="shared" si="24"/>
        <v>800</v>
      </c>
      <c r="O217" s="91">
        <v>202</v>
      </c>
      <c r="P217" s="103"/>
      <c r="Q217" s="103"/>
      <c r="R217" s="103">
        <f t="shared" si="21"/>
        <v>202</v>
      </c>
      <c r="S217" s="2">
        <f t="shared" si="16"/>
        <v>0.27445652173913043</v>
      </c>
    </row>
    <row r="218" spans="1:19" x14ac:dyDescent="0.25">
      <c r="A218" s="201"/>
      <c r="B218" s="169"/>
      <c r="C218" s="169"/>
      <c r="D218" s="169"/>
      <c r="E218" s="182"/>
      <c r="F218" s="169"/>
      <c r="G218" s="169"/>
      <c r="H218" s="172"/>
      <c r="I218" s="173"/>
      <c r="J218" s="268"/>
      <c r="K218" s="91"/>
      <c r="L218" s="268"/>
      <c r="M218" s="20" t="s">
        <v>799</v>
      </c>
      <c r="N218" s="86">
        <f t="shared" si="24"/>
        <v>800</v>
      </c>
      <c r="O218" s="91">
        <v>188</v>
      </c>
      <c r="P218" s="103"/>
      <c r="Q218" s="103">
        <f>15+30</f>
        <v>45</v>
      </c>
      <c r="R218" s="103">
        <f t="shared" si="21"/>
        <v>233</v>
      </c>
      <c r="S218" s="2">
        <f t="shared" si="16"/>
        <v>0.31657608695652173</v>
      </c>
    </row>
    <row r="219" spans="1:19" x14ac:dyDescent="0.25">
      <c r="A219" s="201"/>
      <c r="B219" s="169"/>
      <c r="C219" s="169"/>
      <c r="D219" s="169"/>
      <c r="E219" s="182"/>
      <c r="F219" s="169"/>
      <c r="G219" s="169"/>
      <c r="H219" s="172"/>
      <c r="I219" s="173"/>
      <c r="J219" s="268"/>
      <c r="K219" s="91"/>
      <c r="L219" s="268"/>
      <c r="M219" s="20" t="s">
        <v>800</v>
      </c>
      <c r="N219" s="86">
        <f t="shared" si="24"/>
        <v>800</v>
      </c>
      <c r="O219" s="91">
        <v>170</v>
      </c>
      <c r="P219" s="103"/>
      <c r="Q219" s="103">
        <f>3</f>
        <v>3</v>
      </c>
      <c r="R219" s="103">
        <f t="shared" si="21"/>
        <v>173</v>
      </c>
      <c r="S219" s="2">
        <f t="shared" si="16"/>
        <v>0.23505434782608695</v>
      </c>
    </row>
    <row r="220" spans="1:19" x14ac:dyDescent="0.25">
      <c r="A220" s="202"/>
      <c r="B220" s="169"/>
      <c r="C220" s="169"/>
      <c r="D220" s="169"/>
      <c r="E220" s="182"/>
      <c r="F220" s="169"/>
      <c r="G220" s="169"/>
      <c r="H220" s="174"/>
      <c r="I220" s="175"/>
      <c r="J220" s="269"/>
      <c r="K220" s="91"/>
      <c r="L220" s="269"/>
      <c r="M220" s="20" t="s">
        <v>801</v>
      </c>
      <c r="N220" s="86">
        <f t="shared" si="24"/>
        <v>800</v>
      </c>
      <c r="O220" s="91">
        <v>229.6</v>
      </c>
      <c r="P220" s="103"/>
      <c r="Q220" s="103">
        <f>25</f>
        <v>25</v>
      </c>
      <c r="R220" s="103">
        <f t="shared" si="21"/>
        <v>254.6</v>
      </c>
      <c r="S220" s="2">
        <f t="shared" si="16"/>
        <v>0.34592391304347825</v>
      </c>
    </row>
    <row r="221" spans="1:19" ht="42.75" customHeight="1" x14ac:dyDescent="0.25">
      <c r="A221" s="89">
        <f>A202+1</f>
        <v>7</v>
      </c>
      <c r="B221" s="169"/>
      <c r="C221" s="169"/>
      <c r="D221" s="169"/>
      <c r="E221" s="183"/>
      <c r="F221" s="169" t="s">
        <v>802</v>
      </c>
      <c r="G221" s="169"/>
      <c r="H221" s="176" t="s">
        <v>709</v>
      </c>
      <c r="I221" s="177"/>
      <c r="J221" s="91"/>
      <c r="K221" s="91"/>
      <c r="L221" s="91">
        <f>O221/1000</f>
        <v>7.5999999999999998E-2</v>
      </c>
      <c r="M221" s="20" t="s">
        <v>803</v>
      </c>
      <c r="N221" s="1">
        <v>160</v>
      </c>
      <c r="O221" s="91">
        <v>76</v>
      </c>
      <c r="P221" s="103"/>
      <c r="Q221" s="103"/>
      <c r="R221" s="103">
        <f t="shared" si="21"/>
        <v>76</v>
      </c>
      <c r="S221" s="2">
        <f t="shared" si="16"/>
        <v>0.51630434782608692</v>
      </c>
    </row>
    <row r="222" spans="1:19" hidden="1" x14ac:dyDescent="0.25">
      <c r="A222" s="89"/>
      <c r="B222" s="237" t="s">
        <v>804</v>
      </c>
      <c r="C222" s="237"/>
      <c r="D222" s="237"/>
      <c r="E222" s="237"/>
      <c r="F222" s="237"/>
      <c r="G222" s="237"/>
      <c r="H222" s="237"/>
      <c r="I222" s="237"/>
      <c r="J222" s="149">
        <f>J214</f>
        <v>0</v>
      </c>
      <c r="K222" s="149"/>
      <c r="L222" s="149">
        <f>L214+L215</f>
        <v>0</v>
      </c>
      <c r="M222" s="149"/>
      <c r="N222" s="150"/>
      <c r="O222" s="150"/>
      <c r="P222" s="150"/>
      <c r="Q222" s="150"/>
      <c r="R222" s="150">
        <f t="shared" si="21"/>
        <v>0</v>
      </c>
      <c r="S222" s="150"/>
    </row>
    <row r="223" spans="1:19" ht="16.5" hidden="1" thickBot="1" x14ac:dyDescent="0.3">
      <c r="A223" s="164" t="s">
        <v>1018</v>
      </c>
      <c r="B223" s="165"/>
      <c r="C223" s="165"/>
      <c r="D223" s="165"/>
      <c r="E223" s="165"/>
      <c r="F223" s="165"/>
      <c r="G223" s="165"/>
      <c r="H223" s="165"/>
      <c r="I223" s="165"/>
      <c r="J223" s="165"/>
      <c r="K223" s="165"/>
      <c r="L223" s="165"/>
      <c r="M223" s="165"/>
      <c r="N223" s="165"/>
      <c r="O223" s="165"/>
      <c r="P223" s="167"/>
      <c r="Q223" s="167"/>
      <c r="R223" s="167"/>
      <c r="S223" s="168"/>
    </row>
    <row r="224" spans="1:19" ht="31.5" hidden="1" x14ac:dyDescent="0.25">
      <c r="A224" s="203">
        <v>1</v>
      </c>
      <c r="B224" s="181" t="s">
        <v>36</v>
      </c>
      <c r="C224" s="190" t="s">
        <v>108</v>
      </c>
      <c r="D224" s="181" t="s">
        <v>56</v>
      </c>
      <c r="E224" s="181" t="s">
        <v>61</v>
      </c>
      <c r="F224" s="170" t="s">
        <v>37</v>
      </c>
      <c r="G224" s="171"/>
      <c r="H224" s="169" t="s">
        <v>805</v>
      </c>
      <c r="I224" s="169"/>
      <c r="J224" s="181">
        <v>22.129000000000001</v>
      </c>
      <c r="K224" s="88"/>
      <c r="L224" s="181">
        <v>0.20200000000000001</v>
      </c>
      <c r="M224" s="21" t="s">
        <v>806</v>
      </c>
      <c r="N224" s="91" t="s">
        <v>272</v>
      </c>
      <c r="O224" s="88" t="s">
        <v>807</v>
      </c>
      <c r="P224" s="96"/>
      <c r="Q224" s="96"/>
      <c r="R224" s="96" t="e">
        <f>Q224+P224+O224</f>
        <v>#VALUE!</v>
      </c>
      <c r="S224" s="93"/>
    </row>
    <row r="225" spans="1:19" x14ac:dyDescent="0.25">
      <c r="A225" s="201"/>
      <c r="B225" s="182"/>
      <c r="C225" s="191"/>
      <c r="D225" s="182"/>
      <c r="E225" s="182"/>
      <c r="F225" s="172"/>
      <c r="G225" s="173"/>
      <c r="H225" s="176" t="s">
        <v>555</v>
      </c>
      <c r="I225" s="177"/>
      <c r="J225" s="182"/>
      <c r="K225" s="88"/>
      <c r="L225" s="182"/>
      <c r="M225" s="21" t="s">
        <v>808</v>
      </c>
      <c r="N225" s="3">
        <f>2*400</f>
        <v>800</v>
      </c>
      <c r="O225" s="88">
        <v>34.58</v>
      </c>
      <c r="P225" s="96"/>
      <c r="Q225" s="96"/>
      <c r="R225" s="96">
        <f t="shared" ref="R225:R288" si="25">Q225+P225+O225</f>
        <v>34.58</v>
      </c>
      <c r="S225" s="2">
        <f>R225/(N225*0.92)</f>
        <v>4.6983695652173911E-2</v>
      </c>
    </row>
    <row r="226" spans="1:19" ht="31.5" hidden="1" x14ac:dyDescent="0.25">
      <c r="A226" s="201"/>
      <c r="B226" s="182"/>
      <c r="C226" s="191"/>
      <c r="D226" s="182"/>
      <c r="E226" s="182"/>
      <c r="F226" s="172"/>
      <c r="G226" s="173"/>
      <c r="H226" s="169" t="s">
        <v>809</v>
      </c>
      <c r="I226" s="169"/>
      <c r="J226" s="182"/>
      <c r="K226" s="88"/>
      <c r="L226" s="182"/>
      <c r="M226" s="22" t="s">
        <v>810</v>
      </c>
      <c r="N226" s="91" t="s">
        <v>265</v>
      </c>
      <c r="O226" s="88" t="s">
        <v>811</v>
      </c>
      <c r="P226" s="96"/>
      <c r="Q226" s="96"/>
      <c r="R226" s="96" t="e">
        <f t="shared" si="25"/>
        <v>#VALUE!</v>
      </c>
      <c r="S226" s="93"/>
    </row>
    <row r="227" spans="1:19" x14ac:dyDescent="0.25">
      <c r="A227" s="201"/>
      <c r="B227" s="182"/>
      <c r="C227" s="191"/>
      <c r="D227" s="182"/>
      <c r="E227" s="182"/>
      <c r="F227" s="172"/>
      <c r="G227" s="173"/>
      <c r="H227" s="170" t="s">
        <v>812</v>
      </c>
      <c r="I227" s="171"/>
      <c r="J227" s="182"/>
      <c r="K227" s="88"/>
      <c r="L227" s="182"/>
      <c r="M227" s="22" t="s">
        <v>813</v>
      </c>
      <c r="N227" s="3">
        <f>2*630</f>
        <v>1260</v>
      </c>
      <c r="O227" s="88">
        <v>2.2599999999999998</v>
      </c>
      <c r="P227" s="96"/>
      <c r="Q227" s="96"/>
      <c r="R227" s="96">
        <f t="shared" si="25"/>
        <v>2.2599999999999998</v>
      </c>
      <c r="S227" s="2">
        <f t="shared" ref="S227:S231" si="26">R227/(N227*0.92)</f>
        <v>1.9496204278812972E-3</v>
      </c>
    </row>
    <row r="228" spans="1:19" x14ac:dyDescent="0.25">
      <c r="A228" s="201"/>
      <c r="B228" s="182"/>
      <c r="C228" s="191"/>
      <c r="D228" s="182"/>
      <c r="E228" s="182"/>
      <c r="F228" s="172"/>
      <c r="G228" s="173"/>
      <c r="H228" s="172"/>
      <c r="I228" s="173"/>
      <c r="J228" s="182"/>
      <c r="K228" s="88"/>
      <c r="L228" s="182"/>
      <c r="M228" s="23" t="s">
        <v>814</v>
      </c>
      <c r="N228" s="88">
        <f>400+250</f>
        <v>650</v>
      </c>
      <c r="O228" s="88">
        <v>15.96</v>
      </c>
      <c r="P228" s="96"/>
      <c r="Q228" s="96"/>
      <c r="R228" s="96">
        <f t="shared" si="25"/>
        <v>15.96</v>
      </c>
      <c r="S228" s="2">
        <f t="shared" si="26"/>
        <v>2.6688963210702344E-2</v>
      </c>
    </row>
    <row r="229" spans="1:19" x14ac:dyDescent="0.25">
      <c r="A229" s="201"/>
      <c r="B229" s="182"/>
      <c r="C229" s="191"/>
      <c r="D229" s="182"/>
      <c r="E229" s="182"/>
      <c r="F229" s="172"/>
      <c r="G229" s="173"/>
      <c r="H229" s="172"/>
      <c r="I229" s="173"/>
      <c r="J229" s="182"/>
      <c r="K229" s="88"/>
      <c r="L229" s="182"/>
      <c r="M229" s="24" t="s">
        <v>815</v>
      </c>
      <c r="N229" s="3">
        <f>2*400</f>
        <v>800</v>
      </c>
      <c r="O229" s="88">
        <v>175.94</v>
      </c>
      <c r="P229" s="96"/>
      <c r="Q229" s="96"/>
      <c r="R229" s="96">
        <f t="shared" si="25"/>
        <v>175.94</v>
      </c>
      <c r="S229" s="2">
        <f t="shared" si="26"/>
        <v>0.23904891304347825</v>
      </c>
    </row>
    <row r="230" spans="1:19" x14ac:dyDescent="0.25">
      <c r="A230" s="202"/>
      <c r="B230" s="182"/>
      <c r="C230" s="191"/>
      <c r="D230" s="182"/>
      <c r="E230" s="182"/>
      <c r="F230" s="174"/>
      <c r="G230" s="175"/>
      <c r="H230" s="172"/>
      <c r="I230" s="173"/>
      <c r="J230" s="182"/>
      <c r="K230" s="88"/>
      <c r="L230" s="183"/>
      <c r="M230" s="94" t="s">
        <v>816</v>
      </c>
      <c r="N230" s="3">
        <f t="shared" ref="N230:N231" si="27">2*630</f>
        <v>1260</v>
      </c>
      <c r="O230" s="88">
        <v>296.02</v>
      </c>
      <c r="P230" s="96"/>
      <c r="Q230" s="96"/>
      <c r="R230" s="96">
        <f t="shared" si="25"/>
        <v>296.02</v>
      </c>
      <c r="S230" s="2">
        <f t="shared" si="26"/>
        <v>0.25536576949620426</v>
      </c>
    </row>
    <row r="231" spans="1:19" x14ac:dyDescent="0.25">
      <c r="A231" s="203">
        <f>A224+1</f>
        <v>2</v>
      </c>
      <c r="B231" s="182"/>
      <c r="C231" s="191"/>
      <c r="D231" s="182"/>
      <c r="E231" s="182"/>
      <c r="F231" s="170" t="s">
        <v>38</v>
      </c>
      <c r="G231" s="171"/>
      <c r="H231" s="174"/>
      <c r="I231" s="175"/>
      <c r="J231" s="182"/>
      <c r="K231" s="88"/>
      <c r="L231" s="181">
        <v>0.623</v>
      </c>
      <c r="M231" s="22" t="s">
        <v>817</v>
      </c>
      <c r="N231" s="3">
        <f t="shared" si="27"/>
        <v>1260</v>
      </c>
      <c r="O231" s="88">
        <v>29.26</v>
      </c>
      <c r="P231" s="96"/>
      <c r="Q231" s="96"/>
      <c r="R231" s="96">
        <f t="shared" si="25"/>
        <v>29.26</v>
      </c>
      <c r="S231" s="2">
        <f t="shared" si="26"/>
        <v>2.5241545893719807E-2</v>
      </c>
    </row>
    <row r="232" spans="1:19" ht="31.5" hidden="1" x14ac:dyDescent="0.25">
      <c r="A232" s="201"/>
      <c r="B232" s="182"/>
      <c r="C232" s="191"/>
      <c r="D232" s="182"/>
      <c r="E232" s="182"/>
      <c r="F232" s="172"/>
      <c r="G232" s="173"/>
      <c r="H232" s="169" t="s">
        <v>809</v>
      </c>
      <c r="I232" s="169"/>
      <c r="J232" s="182"/>
      <c r="K232" s="88"/>
      <c r="L232" s="182"/>
      <c r="M232" s="22" t="s">
        <v>818</v>
      </c>
      <c r="N232" s="91" t="s">
        <v>265</v>
      </c>
      <c r="O232" s="88" t="s">
        <v>811</v>
      </c>
      <c r="P232" s="96"/>
      <c r="Q232" s="96"/>
      <c r="R232" s="96" t="e">
        <f t="shared" si="25"/>
        <v>#VALUE!</v>
      </c>
      <c r="S232" s="93"/>
    </row>
    <row r="233" spans="1:19" x14ac:dyDescent="0.25">
      <c r="A233" s="201"/>
      <c r="B233" s="182"/>
      <c r="C233" s="191"/>
      <c r="D233" s="182"/>
      <c r="E233" s="182"/>
      <c r="F233" s="172"/>
      <c r="G233" s="173"/>
      <c r="H233" s="176" t="s">
        <v>812</v>
      </c>
      <c r="I233" s="177"/>
      <c r="J233" s="182"/>
      <c r="K233" s="88"/>
      <c r="L233" s="182"/>
      <c r="M233" s="21" t="s">
        <v>819</v>
      </c>
      <c r="N233" s="3">
        <f>2*400</f>
        <v>800</v>
      </c>
      <c r="O233" s="88">
        <v>76.38</v>
      </c>
      <c r="P233" s="96"/>
      <c r="Q233" s="96"/>
      <c r="R233" s="96">
        <f t="shared" si="25"/>
        <v>76.38</v>
      </c>
      <c r="S233" s="2">
        <f>R233/(N233*0.92)</f>
        <v>0.10377717391304347</v>
      </c>
    </row>
    <row r="234" spans="1:19" ht="31.5" hidden="1" x14ac:dyDescent="0.25">
      <c r="A234" s="202"/>
      <c r="B234" s="182"/>
      <c r="C234" s="191"/>
      <c r="D234" s="182"/>
      <c r="E234" s="182"/>
      <c r="F234" s="174"/>
      <c r="G234" s="175"/>
      <c r="H234" s="169" t="s">
        <v>809</v>
      </c>
      <c r="I234" s="169"/>
      <c r="J234" s="182"/>
      <c r="K234" s="88"/>
      <c r="L234" s="183"/>
      <c r="M234" s="21" t="s">
        <v>820</v>
      </c>
      <c r="N234" s="91" t="s">
        <v>272</v>
      </c>
      <c r="O234" s="88" t="s">
        <v>811</v>
      </c>
      <c r="P234" s="96"/>
      <c r="Q234" s="96"/>
      <c r="R234" s="96" t="e">
        <f t="shared" si="25"/>
        <v>#VALUE!</v>
      </c>
      <c r="S234" s="93"/>
    </row>
    <row r="235" spans="1:19" x14ac:dyDescent="0.25">
      <c r="A235" s="203">
        <f>A231+1</f>
        <v>3</v>
      </c>
      <c r="B235" s="182"/>
      <c r="C235" s="191"/>
      <c r="D235" s="182"/>
      <c r="E235" s="182"/>
      <c r="F235" s="170" t="s">
        <v>39</v>
      </c>
      <c r="G235" s="171"/>
      <c r="H235" s="169" t="s">
        <v>809</v>
      </c>
      <c r="I235" s="169"/>
      <c r="J235" s="182"/>
      <c r="K235" s="88">
        <v>2.2000000000000002</v>
      </c>
      <c r="L235" s="181">
        <v>2.1360000000000001</v>
      </c>
      <c r="M235" s="88" t="s">
        <v>821</v>
      </c>
      <c r="N235" s="91">
        <f>2*1000</f>
        <v>2000</v>
      </c>
      <c r="O235" s="88">
        <v>194.64</v>
      </c>
      <c r="P235" s="96"/>
      <c r="Q235" s="96"/>
      <c r="R235" s="96">
        <f t="shared" si="25"/>
        <v>194.64</v>
      </c>
      <c r="S235" s="2">
        <f t="shared" ref="S235:S243" si="28">R235/(N235*0.92)</f>
        <v>0.10578260869565216</v>
      </c>
    </row>
    <row r="236" spans="1:19" x14ac:dyDescent="0.25">
      <c r="A236" s="201"/>
      <c r="B236" s="182"/>
      <c r="C236" s="191"/>
      <c r="D236" s="182"/>
      <c r="E236" s="182"/>
      <c r="F236" s="172"/>
      <c r="G236" s="173"/>
      <c r="H236" s="170" t="s">
        <v>812</v>
      </c>
      <c r="I236" s="171"/>
      <c r="J236" s="182"/>
      <c r="K236" s="88"/>
      <c r="L236" s="182"/>
      <c r="M236" s="41" t="s">
        <v>822</v>
      </c>
      <c r="N236" s="3">
        <f t="shared" ref="N236:N238" si="29">2*630</f>
        <v>1260</v>
      </c>
      <c r="O236" s="88">
        <v>270.18</v>
      </c>
      <c r="P236" s="96"/>
      <c r="Q236" s="96"/>
      <c r="R236" s="96">
        <f t="shared" si="25"/>
        <v>270.18</v>
      </c>
      <c r="S236" s="2">
        <f t="shared" si="28"/>
        <v>0.23307453416149068</v>
      </c>
    </row>
    <row r="237" spans="1:19" x14ac:dyDescent="0.25">
      <c r="A237" s="201"/>
      <c r="B237" s="182"/>
      <c r="C237" s="191"/>
      <c r="D237" s="182"/>
      <c r="E237" s="182"/>
      <c r="F237" s="172"/>
      <c r="G237" s="173"/>
      <c r="H237" s="172"/>
      <c r="I237" s="173"/>
      <c r="J237" s="182"/>
      <c r="K237" s="88"/>
      <c r="L237" s="182"/>
      <c r="M237" s="25" t="s">
        <v>823</v>
      </c>
      <c r="N237" s="3">
        <f t="shared" si="29"/>
        <v>1260</v>
      </c>
      <c r="O237" s="88">
        <v>266.38</v>
      </c>
      <c r="P237" s="96"/>
      <c r="Q237" s="96"/>
      <c r="R237" s="96">
        <f t="shared" si="25"/>
        <v>266.38</v>
      </c>
      <c r="S237" s="2">
        <f t="shared" si="28"/>
        <v>0.22979641131815043</v>
      </c>
    </row>
    <row r="238" spans="1:19" x14ac:dyDescent="0.25">
      <c r="A238" s="201"/>
      <c r="B238" s="182"/>
      <c r="C238" s="191"/>
      <c r="D238" s="182"/>
      <c r="E238" s="182"/>
      <c r="F238" s="172"/>
      <c r="G238" s="173"/>
      <c r="H238" s="172"/>
      <c r="I238" s="173"/>
      <c r="J238" s="182"/>
      <c r="K238" s="88"/>
      <c r="L238" s="182"/>
      <c r="M238" s="26" t="s">
        <v>824</v>
      </c>
      <c r="N238" s="3">
        <f t="shared" si="29"/>
        <v>1260</v>
      </c>
      <c r="O238" s="88">
        <v>207.86</v>
      </c>
      <c r="P238" s="96"/>
      <c r="Q238" s="96"/>
      <c r="R238" s="96">
        <f t="shared" si="25"/>
        <v>207.86</v>
      </c>
      <c r="S238" s="2">
        <f t="shared" si="28"/>
        <v>0.17931331953071084</v>
      </c>
    </row>
    <row r="239" spans="1:19" x14ac:dyDescent="0.25">
      <c r="A239" s="201"/>
      <c r="B239" s="182"/>
      <c r="C239" s="191"/>
      <c r="D239" s="182"/>
      <c r="E239" s="182"/>
      <c r="F239" s="172"/>
      <c r="G239" s="173"/>
      <c r="H239" s="172"/>
      <c r="I239" s="173"/>
      <c r="J239" s="182"/>
      <c r="K239" s="88"/>
      <c r="L239" s="182"/>
      <c r="M239" s="26" t="s">
        <v>825</v>
      </c>
      <c r="N239" s="160">
        <f>2*1000</f>
        <v>2000</v>
      </c>
      <c r="O239" s="88">
        <v>82.08</v>
      </c>
      <c r="P239" s="96"/>
      <c r="Q239" s="96"/>
      <c r="R239" s="96">
        <f t="shared" si="25"/>
        <v>82.08</v>
      </c>
      <c r="S239" s="2">
        <f t="shared" si="28"/>
        <v>4.4608695652173909E-2</v>
      </c>
    </row>
    <row r="240" spans="1:19" x14ac:dyDescent="0.25">
      <c r="A240" s="201"/>
      <c r="B240" s="182"/>
      <c r="C240" s="191"/>
      <c r="D240" s="182"/>
      <c r="E240" s="182"/>
      <c r="F240" s="172"/>
      <c r="G240" s="173"/>
      <c r="H240" s="172"/>
      <c r="I240" s="173"/>
      <c r="J240" s="182"/>
      <c r="K240" s="88"/>
      <c r="L240" s="182"/>
      <c r="M240" s="26" t="s">
        <v>826</v>
      </c>
      <c r="N240" s="3">
        <f>2*400</f>
        <v>800</v>
      </c>
      <c r="O240" s="88">
        <v>160.36000000000001</v>
      </c>
      <c r="P240" s="96"/>
      <c r="Q240" s="96"/>
      <c r="R240" s="96">
        <f t="shared" si="25"/>
        <v>160.36000000000001</v>
      </c>
      <c r="S240" s="2">
        <f t="shared" si="28"/>
        <v>0.21788043478260871</v>
      </c>
    </row>
    <row r="241" spans="1:19" x14ac:dyDescent="0.25">
      <c r="A241" s="201"/>
      <c r="B241" s="182"/>
      <c r="C241" s="191"/>
      <c r="D241" s="182"/>
      <c r="E241" s="182"/>
      <c r="F241" s="172"/>
      <c r="G241" s="173"/>
      <c r="H241" s="172"/>
      <c r="I241" s="173"/>
      <c r="J241" s="182"/>
      <c r="K241" s="88"/>
      <c r="L241" s="182"/>
      <c r="M241" s="26" t="s">
        <v>827</v>
      </c>
      <c r="N241" s="3">
        <f t="shared" ref="N241:N243" si="30">2*630</f>
        <v>1260</v>
      </c>
      <c r="O241" s="88">
        <v>166.82</v>
      </c>
      <c r="P241" s="96"/>
      <c r="Q241" s="96"/>
      <c r="R241" s="96">
        <f t="shared" si="25"/>
        <v>166.82</v>
      </c>
      <c r="S241" s="2">
        <f t="shared" si="28"/>
        <v>0.1439095928226363</v>
      </c>
    </row>
    <row r="242" spans="1:19" x14ac:dyDescent="0.25">
      <c r="A242" s="201"/>
      <c r="B242" s="182"/>
      <c r="C242" s="191"/>
      <c r="D242" s="182"/>
      <c r="E242" s="182"/>
      <c r="F242" s="172"/>
      <c r="G242" s="173"/>
      <c r="H242" s="172"/>
      <c r="I242" s="173"/>
      <c r="J242" s="182"/>
      <c r="K242" s="88"/>
      <c r="L242" s="182"/>
      <c r="M242" s="25" t="s">
        <v>828</v>
      </c>
      <c r="N242" s="3">
        <f t="shared" si="30"/>
        <v>1260</v>
      </c>
      <c r="O242" s="88">
        <v>9.1199999999999992</v>
      </c>
      <c r="P242" s="96"/>
      <c r="Q242" s="96"/>
      <c r="R242" s="96">
        <f t="shared" si="25"/>
        <v>9.1199999999999992</v>
      </c>
      <c r="S242" s="2">
        <f t="shared" si="28"/>
        <v>7.8674948240165625E-3</v>
      </c>
    </row>
    <row r="243" spans="1:19" x14ac:dyDescent="0.25">
      <c r="A243" s="201"/>
      <c r="B243" s="182"/>
      <c r="C243" s="191"/>
      <c r="D243" s="182"/>
      <c r="E243" s="182"/>
      <c r="F243" s="172"/>
      <c r="G243" s="173"/>
      <c r="H243" s="172"/>
      <c r="I243" s="173"/>
      <c r="J243" s="182"/>
      <c r="K243" s="88"/>
      <c r="L243" s="182"/>
      <c r="M243" s="88" t="s">
        <v>829</v>
      </c>
      <c r="N243" s="3">
        <f t="shared" si="30"/>
        <v>1260</v>
      </c>
      <c r="O243" s="88">
        <v>386.46</v>
      </c>
      <c r="P243" s="96"/>
      <c r="Q243" s="96"/>
      <c r="R243" s="96">
        <f t="shared" si="25"/>
        <v>386.46</v>
      </c>
      <c r="S243" s="2">
        <f t="shared" si="28"/>
        <v>0.33338509316770182</v>
      </c>
    </row>
    <row r="244" spans="1:19" hidden="1" x14ac:dyDescent="0.25">
      <c r="A244" s="201"/>
      <c r="B244" s="182"/>
      <c r="C244" s="191"/>
      <c r="D244" s="182"/>
      <c r="E244" s="182"/>
      <c r="F244" s="172"/>
      <c r="G244" s="173"/>
      <c r="H244" s="174"/>
      <c r="I244" s="175"/>
      <c r="J244" s="182"/>
      <c r="K244" s="88">
        <v>0.05</v>
      </c>
      <c r="L244" s="182"/>
      <c r="M244" s="45" t="s">
        <v>830</v>
      </c>
      <c r="N244" s="91">
        <v>400</v>
      </c>
      <c r="O244" s="88" t="s">
        <v>831</v>
      </c>
      <c r="P244" s="96"/>
      <c r="Q244" s="96"/>
      <c r="R244" s="96" t="e">
        <f t="shared" si="25"/>
        <v>#VALUE!</v>
      </c>
      <c r="S244" s="93"/>
    </row>
    <row r="245" spans="1:19" ht="31.5" x14ac:dyDescent="0.25">
      <c r="A245" s="201"/>
      <c r="B245" s="182"/>
      <c r="C245" s="191"/>
      <c r="D245" s="182"/>
      <c r="E245" s="182"/>
      <c r="F245" s="172"/>
      <c r="G245" s="173"/>
      <c r="H245" s="169" t="s">
        <v>809</v>
      </c>
      <c r="I245" s="169"/>
      <c r="J245" s="182"/>
      <c r="K245" s="88">
        <v>0.495</v>
      </c>
      <c r="L245" s="182"/>
      <c r="M245" s="22" t="s">
        <v>832</v>
      </c>
      <c r="N245" s="160">
        <f>2*1000</f>
        <v>2000</v>
      </c>
      <c r="O245" s="88">
        <v>196.66</v>
      </c>
      <c r="P245" s="96"/>
      <c r="Q245" s="96"/>
      <c r="R245" s="96">
        <f t="shared" si="25"/>
        <v>196.66</v>
      </c>
      <c r="S245" s="2">
        <f t="shared" ref="S245:S304" si="31">R245/(N245*0.92)</f>
        <v>0.1068804347826087</v>
      </c>
    </row>
    <row r="246" spans="1:19" x14ac:dyDescent="0.25">
      <c r="A246" s="201"/>
      <c r="B246" s="182"/>
      <c r="C246" s="191"/>
      <c r="D246" s="182"/>
      <c r="E246" s="182"/>
      <c r="F246" s="172"/>
      <c r="G246" s="173"/>
      <c r="H246" s="170" t="s">
        <v>812</v>
      </c>
      <c r="I246" s="171"/>
      <c r="J246" s="182"/>
      <c r="K246" s="88"/>
      <c r="L246" s="182"/>
      <c r="M246" s="22" t="s">
        <v>833</v>
      </c>
      <c r="N246" s="3">
        <f t="shared" ref="N246:N247" si="32">2*630</f>
        <v>1260</v>
      </c>
      <c r="O246" s="88">
        <v>52.06</v>
      </c>
      <c r="P246" s="96"/>
      <c r="Q246" s="96"/>
      <c r="R246" s="96">
        <f t="shared" si="25"/>
        <v>52.06</v>
      </c>
      <c r="S246" s="2">
        <f t="shared" si="31"/>
        <v>4.4910282953761212E-2</v>
      </c>
    </row>
    <row r="247" spans="1:19" x14ac:dyDescent="0.25">
      <c r="A247" s="201"/>
      <c r="B247" s="182"/>
      <c r="C247" s="191"/>
      <c r="D247" s="182"/>
      <c r="E247" s="182"/>
      <c r="F247" s="172"/>
      <c r="G247" s="173"/>
      <c r="H247" s="172"/>
      <c r="I247" s="173"/>
      <c r="J247" s="182"/>
      <c r="K247" s="88"/>
      <c r="L247" s="182"/>
      <c r="M247" s="22" t="s">
        <v>834</v>
      </c>
      <c r="N247" s="3">
        <f t="shared" si="32"/>
        <v>1260</v>
      </c>
      <c r="O247" s="88">
        <v>278.92</v>
      </c>
      <c r="P247" s="96"/>
      <c r="Q247" s="96">
        <f>15</f>
        <v>15</v>
      </c>
      <c r="R247" s="96">
        <f t="shared" si="25"/>
        <v>293.92</v>
      </c>
      <c r="S247" s="2">
        <f t="shared" si="31"/>
        <v>0.25355417529330571</v>
      </c>
    </row>
    <row r="248" spans="1:19" x14ac:dyDescent="0.25">
      <c r="A248" s="201"/>
      <c r="B248" s="182"/>
      <c r="C248" s="191"/>
      <c r="D248" s="182"/>
      <c r="E248" s="182"/>
      <c r="F248" s="172"/>
      <c r="G248" s="173"/>
      <c r="H248" s="172"/>
      <c r="I248" s="173"/>
      <c r="J248" s="182"/>
      <c r="K248" s="88"/>
      <c r="L248" s="182"/>
      <c r="M248" s="22" t="s">
        <v>835</v>
      </c>
      <c r="N248" s="91">
        <v>400</v>
      </c>
      <c r="O248" s="88">
        <v>139.84</v>
      </c>
      <c r="P248" s="96"/>
      <c r="Q248" s="96"/>
      <c r="R248" s="96">
        <f t="shared" si="25"/>
        <v>139.84</v>
      </c>
      <c r="S248" s="2">
        <f t="shared" si="31"/>
        <v>0.38</v>
      </c>
    </row>
    <row r="249" spans="1:19" x14ac:dyDescent="0.25">
      <c r="A249" s="201"/>
      <c r="B249" s="182"/>
      <c r="C249" s="191"/>
      <c r="D249" s="182"/>
      <c r="E249" s="182"/>
      <c r="F249" s="172"/>
      <c r="G249" s="173"/>
      <c r="H249" s="172"/>
      <c r="I249" s="173"/>
      <c r="J249" s="182"/>
      <c r="K249" s="88">
        <v>0.1</v>
      </c>
      <c r="L249" s="182"/>
      <c r="M249" s="45" t="s">
        <v>836</v>
      </c>
      <c r="N249" s="91">
        <v>250</v>
      </c>
      <c r="O249" s="88">
        <v>7.46</v>
      </c>
      <c r="P249" s="96"/>
      <c r="Q249" s="96"/>
      <c r="R249" s="96">
        <f t="shared" si="25"/>
        <v>7.46</v>
      </c>
      <c r="S249" s="2">
        <f t="shared" si="31"/>
        <v>3.2434782608695652E-2</v>
      </c>
    </row>
    <row r="250" spans="1:19" x14ac:dyDescent="0.25">
      <c r="A250" s="201"/>
      <c r="B250" s="182"/>
      <c r="C250" s="191"/>
      <c r="D250" s="182"/>
      <c r="E250" s="182"/>
      <c r="F250" s="172"/>
      <c r="G250" s="173"/>
      <c r="H250" s="174"/>
      <c r="I250" s="175"/>
      <c r="J250" s="182"/>
      <c r="K250" s="88"/>
      <c r="L250" s="182"/>
      <c r="M250" s="45" t="s">
        <v>837</v>
      </c>
      <c r="N250" s="3">
        <f>2*630</f>
        <v>1260</v>
      </c>
      <c r="O250" s="88">
        <v>125.78</v>
      </c>
      <c r="P250" s="96"/>
      <c r="Q250" s="96"/>
      <c r="R250" s="96">
        <f t="shared" si="25"/>
        <v>125.78</v>
      </c>
      <c r="S250" s="2">
        <f t="shared" si="31"/>
        <v>0.10850586611456177</v>
      </c>
    </row>
    <row r="251" spans="1:19" x14ac:dyDescent="0.25">
      <c r="A251" s="203">
        <f>A235+1</f>
        <v>4</v>
      </c>
      <c r="B251" s="182"/>
      <c r="C251" s="191"/>
      <c r="D251" s="182"/>
      <c r="E251" s="182"/>
      <c r="F251" s="170" t="s">
        <v>40</v>
      </c>
      <c r="G251" s="171"/>
      <c r="H251" s="169" t="s">
        <v>809</v>
      </c>
      <c r="I251" s="169"/>
      <c r="J251" s="182"/>
      <c r="K251" s="88">
        <v>2.2999999999999998</v>
      </c>
      <c r="L251" s="181">
        <v>2.3719999999999999</v>
      </c>
      <c r="M251" s="88" t="s">
        <v>838</v>
      </c>
      <c r="N251" s="160">
        <f>2*1000</f>
        <v>2000</v>
      </c>
      <c r="O251" s="88">
        <v>145.06</v>
      </c>
      <c r="P251" s="96"/>
      <c r="Q251" s="96"/>
      <c r="R251" s="96">
        <f t="shared" si="25"/>
        <v>145.06</v>
      </c>
      <c r="S251" s="2">
        <f t="shared" si="31"/>
        <v>7.8836956521739138E-2</v>
      </c>
    </row>
    <row r="252" spans="1:19" x14ac:dyDescent="0.25">
      <c r="A252" s="201"/>
      <c r="B252" s="182"/>
      <c r="C252" s="191"/>
      <c r="D252" s="182"/>
      <c r="E252" s="182"/>
      <c r="F252" s="172"/>
      <c r="G252" s="173"/>
      <c r="H252" s="170" t="s">
        <v>812</v>
      </c>
      <c r="I252" s="171"/>
      <c r="J252" s="182"/>
      <c r="K252" s="88"/>
      <c r="L252" s="182"/>
      <c r="M252" s="45" t="s">
        <v>839</v>
      </c>
      <c r="N252" s="3">
        <f t="shared" ref="N252:N254" si="33">2*630</f>
        <v>1260</v>
      </c>
      <c r="O252" s="88">
        <v>278.92</v>
      </c>
      <c r="P252" s="96"/>
      <c r="Q252" s="96"/>
      <c r="R252" s="96">
        <f t="shared" si="25"/>
        <v>278.92</v>
      </c>
      <c r="S252" s="2">
        <f t="shared" si="31"/>
        <v>0.24061421670117322</v>
      </c>
    </row>
    <row r="253" spans="1:19" x14ac:dyDescent="0.25">
      <c r="A253" s="201"/>
      <c r="B253" s="182"/>
      <c r="C253" s="191"/>
      <c r="D253" s="182"/>
      <c r="E253" s="182"/>
      <c r="F253" s="172"/>
      <c r="G253" s="173"/>
      <c r="H253" s="172"/>
      <c r="I253" s="173"/>
      <c r="J253" s="182"/>
      <c r="K253" s="88"/>
      <c r="L253" s="182"/>
      <c r="M253" s="45" t="s">
        <v>840</v>
      </c>
      <c r="N253" s="3">
        <f t="shared" si="33"/>
        <v>1260</v>
      </c>
      <c r="O253" s="88">
        <v>267.14</v>
      </c>
      <c r="P253" s="96"/>
      <c r="Q253" s="96"/>
      <c r="R253" s="96">
        <f t="shared" si="25"/>
        <v>267.14</v>
      </c>
      <c r="S253" s="2">
        <f t="shared" si="31"/>
        <v>0.23045203588681848</v>
      </c>
    </row>
    <row r="254" spans="1:19" x14ac:dyDescent="0.25">
      <c r="A254" s="201"/>
      <c r="B254" s="182"/>
      <c r="C254" s="191"/>
      <c r="D254" s="182"/>
      <c r="E254" s="182"/>
      <c r="F254" s="172"/>
      <c r="G254" s="173"/>
      <c r="H254" s="174"/>
      <c r="I254" s="175"/>
      <c r="J254" s="182"/>
      <c r="K254" s="88"/>
      <c r="L254" s="182"/>
      <c r="M254" s="88" t="s">
        <v>841</v>
      </c>
      <c r="N254" s="3">
        <f t="shared" si="33"/>
        <v>1260</v>
      </c>
      <c r="O254" s="88">
        <v>134.52000000000001</v>
      </c>
      <c r="P254" s="96"/>
      <c r="Q254" s="96">
        <f>15+5+50</f>
        <v>70</v>
      </c>
      <c r="R254" s="96">
        <f t="shared" si="25"/>
        <v>204.52</v>
      </c>
      <c r="S254" s="2">
        <f t="shared" si="31"/>
        <v>0.17643202208419601</v>
      </c>
    </row>
    <row r="255" spans="1:19" ht="31.5" x14ac:dyDescent="0.25">
      <c r="A255" s="201"/>
      <c r="B255" s="182"/>
      <c r="C255" s="191"/>
      <c r="D255" s="182"/>
      <c r="E255" s="182"/>
      <c r="F255" s="172"/>
      <c r="G255" s="173"/>
      <c r="H255" s="169" t="s">
        <v>809</v>
      </c>
      <c r="I255" s="169"/>
      <c r="J255" s="182"/>
      <c r="K255" s="88">
        <v>0.495</v>
      </c>
      <c r="L255" s="182"/>
      <c r="M255" s="22" t="s">
        <v>842</v>
      </c>
      <c r="N255" s="160">
        <f>2*1000</f>
        <v>2000</v>
      </c>
      <c r="O255" s="88">
        <v>94.06</v>
      </c>
      <c r="P255" s="96"/>
      <c r="Q255" s="96"/>
      <c r="R255" s="96">
        <f t="shared" si="25"/>
        <v>94.06</v>
      </c>
      <c r="S255" s="2">
        <f t="shared" si="31"/>
        <v>5.1119565217391305E-2</v>
      </c>
    </row>
    <row r="256" spans="1:19" x14ac:dyDescent="0.25">
      <c r="A256" s="201"/>
      <c r="B256" s="182"/>
      <c r="C256" s="191"/>
      <c r="D256" s="182"/>
      <c r="E256" s="182"/>
      <c r="F256" s="172"/>
      <c r="G256" s="173"/>
      <c r="H256" s="170" t="s">
        <v>812</v>
      </c>
      <c r="I256" s="171"/>
      <c r="J256" s="182"/>
      <c r="K256" s="88"/>
      <c r="L256" s="182"/>
      <c r="M256" s="22" t="s">
        <v>843</v>
      </c>
      <c r="N256" s="3">
        <f>2*630</f>
        <v>1260</v>
      </c>
      <c r="O256" s="88">
        <v>95.76</v>
      </c>
      <c r="P256" s="96"/>
      <c r="Q256" s="96"/>
      <c r="R256" s="96">
        <f t="shared" si="25"/>
        <v>95.76</v>
      </c>
      <c r="S256" s="2">
        <f t="shared" si="31"/>
        <v>8.2608695652173908E-2</v>
      </c>
    </row>
    <row r="257" spans="1:19" x14ac:dyDescent="0.25">
      <c r="A257" s="201"/>
      <c r="B257" s="182"/>
      <c r="C257" s="191"/>
      <c r="D257" s="182"/>
      <c r="E257" s="182"/>
      <c r="F257" s="172"/>
      <c r="G257" s="173"/>
      <c r="H257" s="172"/>
      <c r="I257" s="173"/>
      <c r="J257" s="182"/>
      <c r="K257" s="88">
        <v>0.1</v>
      </c>
      <c r="L257" s="182"/>
      <c r="M257" s="94" t="s">
        <v>844</v>
      </c>
      <c r="N257" s="91">
        <v>160</v>
      </c>
      <c r="O257" s="88">
        <v>10.050000000000001</v>
      </c>
      <c r="P257" s="96"/>
      <c r="Q257" s="96"/>
      <c r="R257" s="96">
        <f t="shared" si="25"/>
        <v>10.050000000000001</v>
      </c>
      <c r="S257" s="2">
        <f t="shared" si="31"/>
        <v>6.8274456521739121E-2</v>
      </c>
    </row>
    <row r="258" spans="1:19" x14ac:dyDescent="0.25">
      <c r="A258" s="201"/>
      <c r="B258" s="182"/>
      <c r="C258" s="191"/>
      <c r="D258" s="182"/>
      <c r="E258" s="182"/>
      <c r="F258" s="172"/>
      <c r="G258" s="173"/>
      <c r="H258" s="172"/>
      <c r="I258" s="173"/>
      <c r="J258" s="182"/>
      <c r="K258" s="88"/>
      <c r="L258" s="182"/>
      <c r="M258" s="41" t="s">
        <v>845</v>
      </c>
      <c r="N258" s="3">
        <f>2*630</f>
        <v>1260</v>
      </c>
      <c r="O258" s="88">
        <v>157.32</v>
      </c>
      <c r="P258" s="96"/>
      <c r="Q258" s="96"/>
      <c r="R258" s="96">
        <f t="shared" si="25"/>
        <v>157.32</v>
      </c>
      <c r="S258" s="2">
        <f t="shared" si="31"/>
        <v>0.1357142857142857</v>
      </c>
    </row>
    <row r="259" spans="1:19" x14ac:dyDescent="0.25">
      <c r="A259" s="201"/>
      <c r="B259" s="182"/>
      <c r="C259" s="191"/>
      <c r="D259" s="182"/>
      <c r="E259" s="182"/>
      <c r="F259" s="172"/>
      <c r="G259" s="173"/>
      <c r="H259" s="172"/>
      <c r="I259" s="173"/>
      <c r="J259" s="182"/>
      <c r="K259" s="88">
        <v>0.2</v>
      </c>
      <c r="L259" s="182"/>
      <c r="M259" s="41" t="s">
        <v>846</v>
      </c>
      <c r="N259" s="91">
        <v>250</v>
      </c>
      <c r="O259" s="88">
        <v>18.5</v>
      </c>
      <c r="P259" s="96"/>
      <c r="Q259" s="96"/>
      <c r="R259" s="96">
        <f t="shared" si="25"/>
        <v>18.5</v>
      </c>
      <c r="S259" s="2">
        <f t="shared" si="31"/>
        <v>8.0434782608695646E-2</v>
      </c>
    </row>
    <row r="260" spans="1:19" x14ac:dyDescent="0.25">
      <c r="A260" s="201"/>
      <c r="B260" s="182"/>
      <c r="C260" s="191"/>
      <c r="D260" s="182"/>
      <c r="E260" s="182"/>
      <c r="F260" s="172"/>
      <c r="G260" s="173"/>
      <c r="H260" s="172"/>
      <c r="I260" s="173"/>
      <c r="J260" s="182"/>
      <c r="K260" s="88"/>
      <c r="L260" s="182"/>
      <c r="M260" s="25" t="s">
        <v>847</v>
      </c>
      <c r="N260" s="3">
        <f t="shared" ref="N260:N261" si="34">2*630</f>
        <v>1260</v>
      </c>
      <c r="O260" s="88">
        <v>99.56</v>
      </c>
      <c r="P260" s="96"/>
      <c r="Q260" s="96"/>
      <c r="R260" s="96">
        <f t="shared" si="25"/>
        <v>99.56</v>
      </c>
      <c r="S260" s="2">
        <f t="shared" si="31"/>
        <v>8.5886818495514147E-2</v>
      </c>
    </row>
    <row r="261" spans="1:19" x14ac:dyDescent="0.25">
      <c r="A261" s="201"/>
      <c r="B261" s="182"/>
      <c r="C261" s="191"/>
      <c r="D261" s="182"/>
      <c r="E261" s="182"/>
      <c r="F261" s="172"/>
      <c r="G261" s="173"/>
      <c r="H261" s="172"/>
      <c r="I261" s="173"/>
      <c r="J261" s="182"/>
      <c r="K261" s="88"/>
      <c r="L261" s="182"/>
      <c r="M261" s="26" t="s">
        <v>848</v>
      </c>
      <c r="N261" s="3">
        <f t="shared" si="34"/>
        <v>1260</v>
      </c>
      <c r="O261" s="88">
        <v>201.4</v>
      </c>
      <c r="P261" s="96"/>
      <c r="Q261" s="96"/>
      <c r="R261" s="96">
        <f t="shared" si="25"/>
        <v>201.4</v>
      </c>
      <c r="S261" s="2">
        <f t="shared" si="31"/>
        <v>0.17374051069703245</v>
      </c>
    </row>
    <row r="262" spans="1:19" x14ac:dyDescent="0.25">
      <c r="A262" s="201"/>
      <c r="B262" s="182"/>
      <c r="C262" s="191"/>
      <c r="D262" s="182"/>
      <c r="E262" s="182"/>
      <c r="F262" s="172"/>
      <c r="G262" s="173"/>
      <c r="H262" s="172"/>
      <c r="I262" s="173"/>
      <c r="J262" s="182"/>
      <c r="K262" s="88"/>
      <c r="L262" s="182"/>
      <c r="M262" s="26" t="s">
        <v>849</v>
      </c>
      <c r="N262" s="160">
        <f>2*1000</f>
        <v>2000</v>
      </c>
      <c r="O262" s="88">
        <v>54.72</v>
      </c>
      <c r="P262" s="96"/>
      <c r="Q262" s="96"/>
      <c r="R262" s="96">
        <f t="shared" si="25"/>
        <v>54.72</v>
      </c>
      <c r="S262" s="2">
        <f t="shared" si="31"/>
        <v>2.9739130434782608E-2</v>
      </c>
    </row>
    <row r="263" spans="1:19" x14ac:dyDescent="0.25">
      <c r="A263" s="201"/>
      <c r="B263" s="182"/>
      <c r="C263" s="191"/>
      <c r="D263" s="182"/>
      <c r="E263" s="182"/>
      <c r="F263" s="172"/>
      <c r="G263" s="173"/>
      <c r="H263" s="172"/>
      <c r="I263" s="173"/>
      <c r="J263" s="182"/>
      <c r="K263" s="88"/>
      <c r="L263" s="182"/>
      <c r="M263" s="26" t="s">
        <v>850</v>
      </c>
      <c r="N263" s="3">
        <f>2*400</f>
        <v>800</v>
      </c>
      <c r="O263" s="88">
        <v>2.2799999999999998</v>
      </c>
      <c r="P263" s="96"/>
      <c r="Q263" s="96"/>
      <c r="R263" s="96">
        <f t="shared" si="25"/>
        <v>2.2799999999999998</v>
      </c>
      <c r="S263" s="2">
        <f t="shared" si="31"/>
        <v>3.0978260869565215E-3</v>
      </c>
    </row>
    <row r="264" spans="1:19" x14ac:dyDescent="0.25">
      <c r="A264" s="201"/>
      <c r="B264" s="182"/>
      <c r="C264" s="191"/>
      <c r="D264" s="182"/>
      <c r="E264" s="182"/>
      <c r="F264" s="172"/>
      <c r="G264" s="173"/>
      <c r="H264" s="172"/>
      <c r="I264" s="173"/>
      <c r="J264" s="182"/>
      <c r="K264" s="88"/>
      <c r="L264" s="182"/>
      <c r="M264" s="26" t="s">
        <v>851</v>
      </c>
      <c r="N264" s="3">
        <f t="shared" ref="N264:N265" si="35">2*630</f>
        <v>1260</v>
      </c>
      <c r="O264" s="88">
        <v>53.58</v>
      </c>
      <c r="P264" s="96"/>
      <c r="Q264" s="96"/>
      <c r="R264" s="96">
        <f t="shared" si="25"/>
        <v>53.58</v>
      </c>
      <c r="S264" s="2">
        <f t="shared" si="31"/>
        <v>4.6221532091097306E-2</v>
      </c>
    </row>
    <row r="265" spans="1:19" x14ac:dyDescent="0.25">
      <c r="A265" s="202"/>
      <c r="B265" s="182"/>
      <c r="C265" s="191"/>
      <c r="D265" s="182"/>
      <c r="E265" s="182"/>
      <c r="F265" s="174"/>
      <c r="G265" s="175"/>
      <c r="H265" s="172"/>
      <c r="I265" s="173"/>
      <c r="J265" s="182"/>
      <c r="K265" s="88"/>
      <c r="L265" s="183"/>
      <c r="M265" s="25" t="s">
        <v>852</v>
      </c>
      <c r="N265" s="3">
        <f t="shared" si="35"/>
        <v>1260</v>
      </c>
      <c r="O265" s="88">
        <v>0.38</v>
      </c>
      <c r="P265" s="96"/>
      <c r="Q265" s="96"/>
      <c r="R265" s="96">
        <f t="shared" si="25"/>
        <v>0.38</v>
      </c>
      <c r="S265" s="2">
        <f t="shared" si="31"/>
        <v>3.2781228433402347E-4</v>
      </c>
    </row>
    <row r="266" spans="1:19" x14ac:dyDescent="0.25">
      <c r="A266" s="203">
        <f>A251+1</f>
        <v>5</v>
      </c>
      <c r="B266" s="182"/>
      <c r="C266" s="191"/>
      <c r="D266" s="182"/>
      <c r="E266" s="182"/>
      <c r="F266" s="170" t="s">
        <v>41</v>
      </c>
      <c r="G266" s="171"/>
      <c r="H266" s="172"/>
      <c r="I266" s="173"/>
      <c r="J266" s="182"/>
      <c r="K266" s="88"/>
      <c r="L266" s="181">
        <v>1.397</v>
      </c>
      <c r="M266" s="88" t="s">
        <v>853</v>
      </c>
      <c r="N266" s="3">
        <f>2*400</f>
        <v>800</v>
      </c>
      <c r="O266" s="88">
        <v>3.42</v>
      </c>
      <c r="P266" s="96"/>
      <c r="Q266" s="96">
        <f>5</f>
        <v>5</v>
      </c>
      <c r="R266" s="96">
        <f t="shared" si="25"/>
        <v>8.42</v>
      </c>
      <c r="S266" s="2">
        <f t="shared" si="31"/>
        <v>1.1440217391304347E-2</v>
      </c>
    </row>
    <row r="267" spans="1:19" x14ac:dyDescent="0.25">
      <c r="A267" s="201"/>
      <c r="B267" s="182"/>
      <c r="C267" s="191"/>
      <c r="D267" s="182"/>
      <c r="E267" s="182"/>
      <c r="F267" s="172"/>
      <c r="G267" s="173"/>
      <c r="H267" s="172"/>
      <c r="I267" s="173"/>
      <c r="J267" s="182"/>
      <c r="K267" s="88"/>
      <c r="L267" s="182"/>
      <c r="M267" s="45" t="s">
        <v>854</v>
      </c>
      <c r="N267" s="3">
        <f>2*630</f>
        <v>1260</v>
      </c>
      <c r="O267" s="88">
        <v>327.56</v>
      </c>
      <c r="P267" s="96"/>
      <c r="Q267" s="96"/>
      <c r="R267" s="96">
        <f t="shared" si="25"/>
        <v>327.56</v>
      </c>
      <c r="S267" s="2">
        <f t="shared" si="31"/>
        <v>0.28257418909592824</v>
      </c>
    </row>
    <row r="268" spans="1:19" x14ac:dyDescent="0.25">
      <c r="A268" s="201"/>
      <c r="B268" s="182"/>
      <c r="C268" s="191"/>
      <c r="D268" s="182"/>
      <c r="E268" s="182"/>
      <c r="F268" s="172"/>
      <c r="G268" s="173"/>
      <c r="H268" s="172"/>
      <c r="I268" s="173"/>
      <c r="J268" s="182"/>
      <c r="K268" s="88"/>
      <c r="L268" s="182"/>
      <c r="M268" s="45" t="s">
        <v>855</v>
      </c>
      <c r="N268" s="3">
        <f>2*400</f>
        <v>800</v>
      </c>
      <c r="O268" s="88">
        <v>91.58</v>
      </c>
      <c r="P268" s="96"/>
      <c r="Q268" s="96"/>
      <c r="R268" s="96">
        <f t="shared" si="25"/>
        <v>91.58</v>
      </c>
      <c r="S268" s="2">
        <f t="shared" si="31"/>
        <v>0.12442934782608696</v>
      </c>
    </row>
    <row r="269" spans="1:19" x14ac:dyDescent="0.25">
      <c r="A269" s="201"/>
      <c r="B269" s="182"/>
      <c r="C269" s="191"/>
      <c r="D269" s="182"/>
      <c r="E269" s="182"/>
      <c r="F269" s="172"/>
      <c r="G269" s="173"/>
      <c r="H269" s="176" t="s">
        <v>809</v>
      </c>
      <c r="I269" s="177"/>
      <c r="J269" s="182"/>
      <c r="K269" s="88">
        <v>0.2</v>
      </c>
      <c r="L269" s="182"/>
      <c r="M269" s="22" t="s">
        <v>856</v>
      </c>
      <c r="N269" s="3">
        <f>2*630</f>
        <v>1260</v>
      </c>
      <c r="O269" s="88">
        <v>2.31</v>
      </c>
      <c r="P269" s="96"/>
      <c r="Q269" s="96"/>
      <c r="R269" s="96">
        <f t="shared" si="25"/>
        <v>2.31</v>
      </c>
      <c r="S269" s="2">
        <f t="shared" si="31"/>
        <v>1.9927536231884057E-3</v>
      </c>
    </row>
    <row r="270" spans="1:19" x14ac:dyDescent="0.25">
      <c r="A270" s="201"/>
      <c r="B270" s="182"/>
      <c r="C270" s="191"/>
      <c r="D270" s="182"/>
      <c r="E270" s="182"/>
      <c r="F270" s="172"/>
      <c r="G270" s="173"/>
      <c r="H270" s="172" t="s">
        <v>812</v>
      </c>
      <c r="I270" s="173"/>
      <c r="J270" s="182"/>
      <c r="K270" s="88"/>
      <c r="L270" s="182"/>
      <c r="M270" s="45" t="s">
        <v>857</v>
      </c>
      <c r="N270" s="91">
        <v>250</v>
      </c>
      <c r="O270" s="88">
        <v>7.98</v>
      </c>
      <c r="P270" s="96"/>
      <c r="Q270" s="96">
        <f>1+10+3+3+5</f>
        <v>22</v>
      </c>
      <c r="R270" s="96">
        <f t="shared" si="25"/>
        <v>29.98</v>
      </c>
      <c r="S270" s="2">
        <f t="shared" si="31"/>
        <v>0.13034782608695653</v>
      </c>
    </row>
    <row r="271" spans="1:19" x14ac:dyDescent="0.25">
      <c r="A271" s="201"/>
      <c r="B271" s="182"/>
      <c r="C271" s="191"/>
      <c r="D271" s="182"/>
      <c r="E271" s="182"/>
      <c r="F271" s="172"/>
      <c r="G271" s="173"/>
      <c r="H271" s="172"/>
      <c r="I271" s="173"/>
      <c r="J271" s="182"/>
      <c r="K271" s="88"/>
      <c r="L271" s="182"/>
      <c r="M271" s="88" t="s">
        <v>858</v>
      </c>
      <c r="N271" s="3">
        <f>2*630</f>
        <v>1260</v>
      </c>
      <c r="O271" s="88">
        <v>268.66000000000003</v>
      </c>
      <c r="P271" s="96"/>
      <c r="Q271" s="96"/>
      <c r="R271" s="96">
        <f t="shared" si="25"/>
        <v>268.66000000000003</v>
      </c>
      <c r="S271" s="2">
        <f t="shared" si="31"/>
        <v>0.23176328502415461</v>
      </c>
    </row>
    <row r="272" spans="1:19" x14ac:dyDescent="0.25">
      <c r="A272" s="201"/>
      <c r="B272" s="182"/>
      <c r="C272" s="191"/>
      <c r="D272" s="182"/>
      <c r="E272" s="182"/>
      <c r="F272" s="172"/>
      <c r="G272" s="173"/>
      <c r="H272" s="172"/>
      <c r="I272" s="173"/>
      <c r="J272" s="182"/>
      <c r="K272" s="88"/>
      <c r="L272" s="182"/>
      <c r="M272" s="41" t="s">
        <v>859</v>
      </c>
      <c r="N272" s="91">
        <v>630</v>
      </c>
      <c r="O272" s="88">
        <v>104.12</v>
      </c>
      <c r="P272" s="96"/>
      <c r="Q272" s="96">
        <f>15</f>
        <v>15</v>
      </c>
      <c r="R272" s="96">
        <f t="shared" si="25"/>
        <v>119.12</v>
      </c>
      <c r="S272" s="2">
        <f t="shared" si="31"/>
        <v>0.20552104899930987</v>
      </c>
    </row>
    <row r="273" spans="1:19" x14ac:dyDescent="0.25">
      <c r="A273" s="201"/>
      <c r="B273" s="182"/>
      <c r="C273" s="191"/>
      <c r="D273" s="182"/>
      <c r="E273" s="182"/>
      <c r="F273" s="172"/>
      <c r="G273" s="173"/>
      <c r="H273" s="172"/>
      <c r="I273" s="173"/>
      <c r="J273" s="182"/>
      <c r="K273" s="88"/>
      <c r="L273" s="182"/>
      <c r="M273" s="40" t="s">
        <v>860</v>
      </c>
      <c r="N273" s="3">
        <f>2*400</f>
        <v>800</v>
      </c>
      <c r="O273" s="88">
        <v>186.58</v>
      </c>
      <c r="P273" s="96"/>
      <c r="Q273" s="96"/>
      <c r="R273" s="96">
        <f t="shared" si="25"/>
        <v>186.58</v>
      </c>
      <c r="S273" s="2">
        <f t="shared" si="31"/>
        <v>0.25350543478260873</v>
      </c>
    </row>
    <row r="274" spans="1:19" x14ac:dyDescent="0.25">
      <c r="A274" s="201"/>
      <c r="B274" s="182"/>
      <c r="C274" s="191"/>
      <c r="D274" s="182"/>
      <c r="E274" s="182"/>
      <c r="F274" s="172"/>
      <c r="G274" s="173"/>
      <c r="H274" s="172"/>
      <c r="I274" s="173"/>
      <c r="J274" s="182"/>
      <c r="K274" s="88"/>
      <c r="L274" s="182"/>
      <c r="M274" s="88" t="s">
        <v>861</v>
      </c>
      <c r="N274" s="3">
        <f>2*630</f>
        <v>1260</v>
      </c>
      <c r="O274" s="88">
        <v>139.46</v>
      </c>
      <c r="P274" s="96"/>
      <c r="Q274" s="96"/>
      <c r="R274" s="96">
        <f t="shared" si="25"/>
        <v>139.46</v>
      </c>
      <c r="S274" s="2">
        <f t="shared" si="31"/>
        <v>0.12030710835058661</v>
      </c>
    </row>
    <row r="275" spans="1:19" x14ac:dyDescent="0.25">
      <c r="A275" s="201"/>
      <c r="B275" s="182"/>
      <c r="C275" s="191"/>
      <c r="D275" s="182"/>
      <c r="E275" s="182"/>
      <c r="F275" s="172"/>
      <c r="G275" s="173"/>
      <c r="H275" s="172"/>
      <c r="I275" s="173"/>
      <c r="J275" s="182"/>
      <c r="K275" s="88"/>
      <c r="L275" s="182"/>
      <c r="M275" s="45" t="s">
        <v>862</v>
      </c>
      <c r="N275" s="91">
        <v>400</v>
      </c>
      <c r="O275" s="88">
        <v>181.26</v>
      </c>
      <c r="P275" s="96"/>
      <c r="Q275" s="96"/>
      <c r="R275" s="96">
        <f t="shared" si="25"/>
        <v>181.26</v>
      </c>
      <c r="S275" s="2">
        <f t="shared" si="31"/>
        <v>0.49255434782608692</v>
      </c>
    </row>
    <row r="276" spans="1:19" x14ac:dyDescent="0.25">
      <c r="A276" s="201"/>
      <c r="B276" s="182"/>
      <c r="C276" s="191"/>
      <c r="D276" s="182"/>
      <c r="E276" s="182"/>
      <c r="F276" s="172"/>
      <c r="G276" s="173"/>
      <c r="H276" s="172"/>
      <c r="I276" s="173"/>
      <c r="J276" s="182"/>
      <c r="K276" s="88"/>
      <c r="L276" s="182"/>
      <c r="M276" s="45" t="s">
        <v>863</v>
      </c>
      <c r="N276" s="91">
        <v>400</v>
      </c>
      <c r="O276" s="88">
        <v>221.54</v>
      </c>
      <c r="P276" s="96"/>
      <c r="Q276" s="96">
        <f>10</f>
        <v>10</v>
      </c>
      <c r="R276" s="96">
        <f t="shared" si="25"/>
        <v>231.54</v>
      </c>
      <c r="S276" s="2">
        <f t="shared" si="31"/>
        <v>0.62918478260869559</v>
      </c>
    </row>
    <row r="277" spans="1:19" x14ac:dyDescent="0.25">
      <c r="A277" s="201"/>
      <c r="B277" s="182"/>
      <c r="C277" s="191"/>
      <c r="D277" s="182"/>
      <c r="E277" s="182"/>
      <c r="F277" s="172"/>
      <c r="G277" s="173"/>
      <c r="H277" s="172"/>
      <c r="I277" s="173"/>
      <c r="J277" s="182"/>
      <c r="K277" s="88"/>
      <c r="L277" s="182"/>
      <c r="M277" s="88" t="s">
        <v>864</v>
      </c>
      <c r="N277" s="91">
        <v>400</v>
      </c>
      <c r="O277" s="88">
        <v>51.3</v>
      </c>
      <c r="P277" s="96"/>
      <c r="Q277" s="96">
        <f>10</f>
        <v>10</v>
      </c>
      <c r="R277" s="96">
        <f t="shared" si="25"/>
        <v>61.3</v>
      </c>
      <c r="S277" s="2">
        <f t="shared" si="31"/>
        <v>0.16657608695652174</v>
      </c>
    </row>
    <row r="278" spans="1:19" x14ac:dyDescent="0.25">
      <c r="A278" s="201"/>
      <c r="B278" s="182"/>
      <c r="C278" s="191"/>
      <c r="D278" s="182"/>
      <c r="E278" s="182"/>
      <c r="F278" s="172"/>
      <c r="G278" s="173"/>
      <c r="H278" s="174"/>
      <c r="I278" s="175"/>
      <c r="J278" s="182"/>
      <c r="K278" s="88"/>
      <c r="L278" s="182"/>
      <c r="M278" s="45" t="s">
        <v>865</v>
      </c>
      <c r="N278" s="3">
        <f>2*400</f>
        <v>800</v>
      </c>
      <c r="O278" s="88">
        <v>217.36</v>
      </c>
      <c r="P278" s="96"/>
      <c r="Q278" s="96"/>
      <c r="R278" s="96">
        <f t="shared" si="25"/>
        <v>217.36</v>
      </c>
      <c r="S278" s="2">
        <f t="shared" si="31"/>
        <v>0.29532608695652174</v>
      </c>
    </row>
    <row r="279" spans="1:19" x14ac:dyDescent="0.25">
      <c r="A279" s="202"/>
      <c r="B279" s="182"/>
      <c r="C279" s="191"/>
      <c r="D279" s="182"/>
      <c r="E279" s="182"/>
      <c r="F279" s="174"/>
      <c r="G279" s="175"/>
      <c r="H279" s="169" t="s">
        <v>809</v>
      </c>
      <c r="I279" s="169"/>
      <c r="J279" s="182"/>
      <c r="K279" s="88">
        <v>0.1</v>
      </c>
      <c r="L279" s="183"/>
      <c r="M279" s="22" t="s">
        <v>866</v>
      </c>
      <c r="N279" s="3">
        <f>2*630</f>
        <v>1260</v>
      </c>
      <c r="O279" s="88">
        <v>33.26</v>
      </c>
      <c r="P279" s="96"/>
      <c r="Q279" s="96"/>
      <c r="R279" s="96">
        <f t="shared" si="25"/>
        <v>33.26</v>
      </c>
      <c r="S279" s="2">
        <f t="shared" si="31"/>
        <v>2.8692201518288472E-2</v>
      </c>
    </row>
    <row r="280" spans="1:19" x14ac:dyDescent="0.25">
      <c r="A280" s="203">
        <f>A266+1</f>
        <v>6</v>
      </c>
      <c r="B280" s="182"/>
      <c r="C280" s="191"/>
      <c r="D280" s="182"/>
      <c r="E280" s="182"/>
      <c r="F280" s="170" t="s">
        <v>42</v>
      </c>
      <c r="G280" s="171"/>
      <c r="H280" s="170" t="s">
        <v>812</v>
      </c>
      <c r="I280" s="171"/>
      <c r="J280" s="182"/>
      <c r="K280" s="88"/>
      <c r="L280" s="181">
        <v>2.5299999999999998</v>
      </c>
      <c r="M280" s="45" t="s">
        <v>867</v>
      </c>
      <c r="N280" s="3">
        <f>2*400</f>
        <v>800</v>
      </c>
      <c r="O280" s="88">
        <v>43.7</v>
      </c>
      <c r="P280" s="96"/>
      <c r="Q280" s="96"/>
      <c r="R280" s="96">
        <f t="shared" si="25"/>
        <v>43.7</v>
      </c>
      <c r="S280" s="2">
        <f t="shared" si="31"/>
        <v>5.9375000000000004E-2</v>
      </c>
    </row>
    <row r="281" spans="1:19" x14ac:dyDescent="0.25">
      <c r="A281" s="201"/>
      <c r="B281" s="182"/>
      <c r="C281" s="191"/>
      <c r="D281" s="182"/>
      <c r="E281" s="182"/>
      <c r="F281" s="172"/>
      <c r="G281" s="173"/>
      <c r="H281" s="172"/>
      <c r="I281" s="173"/>
      <c r="J281" s="182"/>
      <c r="K281" s="88"/>
      <c r="L281" s="182"/>
      <c r="M281" s="21" t="s">
        <v>868</v>
      </c>
      <c r="N281" s="160">
        <f>2*1000</f>
        <v>2000</v>
      </c>
      <c r="O281" s="88">
        <v>9.34</v>
      </c>
      <c r="P281" s="96"/>
      <c r="Q281" s="96"/>
      <c r="R281" s="96">
        <f t="shared" si="25"/>
        <v>9.34</v>
      </c>
      <c r="S281" s="2">
        <f t="shared" si="31"/>
        <v>5.076086956521739E-3</v>
      </c>
    </row>
    <row r="282" spans="1:19" x14ac:dyDescent="0.25">
      <c r="A282" s="201"/>
      <c r="B282" s="182"/>
      <c r="C282" s="191"/>
      <c r="D282" s="182"/>
      <c r="E282" s="182"/>
      <c r="F282" s="172"/>
      <c r="G282" s="173"/>
      <c r="H282" s="174"/>
      <c r="I282" s="175"/>
      <c r="J282" s="182"/>
      <c r="K282" s="88"/>
      <c r="L282" s="182"/>
      <c r="M282" s="22" t="s">
        <v>869</v>
      </c>
      <c r="N282" s="3">
        <f t="shared" ref="N282:N284" si="36">2*630</f>
        <v>1260</v>
      </c>
      <c r="O282" s="88">
        <v>101.08</v>
      </c>
      <c r="P282" s="96"/>
      <c r="Q282" s="96"/>
      <c r="R282" s="96">
        <f t="shared" si="25"/>
        <v>101.08</v>
      </c>
      <c r="S282" s="2">
        <f t="shared" si="31"/>
        <v>8.7198067632850235E-2</v>
      </c>
    </row>
    <row r="283" spans="1:19" x14ac:dyDescent="0.25">
      <c r="A283" s="201"/>
      <c r="B283" s="182"/>
      <c r="C283" s="191"/>
      <c r="D283" s="182"/>
      <c r="E283" s="182"/>
      <c r="F283" s="172"/>
      <c r="G283" s="173"/>
      <c r="H283" s="169" t="s">
        <v>809</v>
      </c>
      <c r="I283" s="169"/>
      <c r="J283" s="182"/>
      <c r="K283" s="88">
        <v>0.1</v>
      </c>
      <c r="L283" s="182"/>
      <c r="M283" s="22" t="s">
        <v>870</v>
      </c>
      <c r="N283" s="3">
        <f t="shared" si="36"/>
        <v>1260</v>
      </c>
      <c r="O283" s="88">
        <v>6.17</v>
      </c>
      <c r="P283" s="96"/>
      <c r="Q283" s="96"/>
      <c r="R283" s="96">
        <f t="shared" si="25"/>
        <v>6.17</v>
      </c>
      <c r="S283" s="2">
        <f t="shared" si="31"/>
        <v>5.3226363008971704E-3</v>
      </c>
    </row>
    <row r="284" spans="1:19" x14ac:dyDescent="0.25">
      <c r="A284" s="201"/>
      <c r="B284" s="182"/>
      <c r="C284" s="191"/>
      <c r="D284" s="182"/>
      <c r="E284" s="182"/>
      <c r="F284" s="172"/>
      <c r="G284" s="173"/>
      <c r="H284" s="169"/>
      <c r="I284" s="169"/>
      <c r="J284" s="182"/>
      <c r="K284" s="88">
        <v>0.2</v>
      </c>
      <c r="L284" s="182"/>
      <c r="M284" s="22" t="s">
        <v>871</v>
      </c>
      <c r="N284" s="3">
        <f t="shared" si="36"/>
        <v>1260</v>
      </c>
      <c r="O284" s="88">
        <v>36.07</v>
      </c>
      <c r="P284" s="96"/>
      <c r="Q284" s="96"/>
      <c r="R284" s="96">
        <f t="shared" si="25"/>
        <v>36.07</v>
      </c>
      <c r="S284" s="2">
        <f t="shared" si="31"/>
        <v>3.1116287094547963E-2</v>
      </c>
    </row>
    <row r="285" spans="1:19" x14ac:dyDescent="0.25">
      <c r="A285" s="201"/>
      <c r="B285" s="182"/>
      <c r="C285" s="191"/>
      <c r="D285" s="182"/>
      <c r="E285" s="182"/>
      <c r="F285" s="172"/>
      <c r="G285" s="173"/>
      <c r="H285" s="170" t="s">
        <v>812</v>
      </c>
      <c r="I285" s="171"/>
      <c r="J285" s="182"/>
      <c r="K285" s="88"/>
      <c r="L285" s="182"/>
      <c r="M285" s="22" t="s">
        <v>872</v>
      </c>
      <c r="N285" s="3">
        <f>2*400</f>
        <v>800</v>
      </c>
      <c r="O285" s="88">
        <v>38</v>
      </c>
      <c r="P285" s="96"/>
      <c r="Q285" s="96"/>
      <c r="R285" s="96">
        <f t="shared" si="25"/>
        <v>38</v>
      </c>
      <c r="S285" s="2">
        <f t="shared" si="31"/>
        <v>5.1630434782608696E-2</v>
      </c>
    </row>
    <row r="286" spans="1:19" x14ac:dyDescent="0.25">
      <c r="A286" s="201"/>
      <c r="B286" s="182"/>
      <c r="C286" s="191"/>
      <c r="D286" s="182"/>
      <c r="E286" s="182"/>
      <c r="F286" s="172"/>
      <c r="G286" s="173"/>
      <c r="H286" s="172"/>
      <c r="I286" s="173"/>
      <c r="J286" s="182"/>
      <c r="K286" s="88"/>
      <c r="L286" s="182"/>
      <c r="M286" s="22" t="s">
        <v>873</v>
      </c>
      <c r="N286" s="91">
        <v>400</v>
      </c>
      <c r="O286" s="88">
        <v>17.86</v>
      </c>
      <c r="P286" s="96"/>
      <c r="Q286" s="96">
        <f>10+15</f>
        <v>25</v>
      </c>
      <c r="R286" s="96">
        <f t="shared" si="25"/>
        <v>42.86</v>
      </c>
      <c r="S286" s="2">
        <f t="shared" si="31"/>
        <v>0.11646739130434783</v>
      </c>
    </row>
    <row r="287" spans="1:19" x14ac:dyDescent="0.25">
      <c r="A287" s="201"/>
      <c r="B287" s="182"/>
      <c r="C287" s="191"/>
      <c r="D287" s="182"/>
      <c r="E287" s="182"/>
      <c r="F287" s="172"/>
      <c r="G287" s="173"/>
      <c r="H287" s="172"/>
      <c r="I287" s="173"/>
      <c r="J287" s="182"/>
      <c r="K287" s="88"/>
      <c r="L287" s="182"/>
      <c r="M287" s="22" t="s">
        <v>874</v>
      </c>
      <c r="N287" s="3">
        <f>2*630</f>
        <v>1260</v>
      </c>
      <c r="O287" s="88">
        <v>14.44</v>
      </c>
      <c r="P287" s="96"/>
      <c r="Q287" s="96"/>
      <c r="R287" s="96">
        <f t="shared" si="25"/>
        <v>14.44</v>
      </c>
      <c r="S287" s="2">
        <f t="shared" si="31"/>
        <v>1.2456866804692891E-2</v>
      </c>
    </row>
    <row r="288" spans="1:19" x14ac:dyDescent="0.25">
      <c r="A288" s="201"/>
      <c r="B288" s="182"/>
      <c r="C288" s="191"/>
      <c r="D288" s="182"/>
      <c r="E288" s="182"/>
      <c r="F288" s="172"/>
      <c r="G288" s="173"/>
      <c r="H288" s="172"/>
      <c r="I288" s="173"/>
      <c r="J288" s="182"/>
      <c r="K288" s="88">
        <v>0.01</v>
      </c>
      <c r="L288" s="182"/>
      <c r="M288" s="22" t="s">
        <v>875</v>
      </c>
      <c r="N288" s="91">
        <v>100</v>
      </c>
      <c r="O288" s="88">
        <v>2.85</v>
      </c>
      <c r="P288" s="96"/>
      <c r="Q288" s="96"/>
      <c r="R288" s="96">
        <f t="shared" si="25"/>
        <v>2.85</v>
      </c>
      <c r="S288" s="2">
        <f t="shared" si="31"/>
        <v>3.0978260869565219E-2</v>
      </c>
    </row>
    <row r="289" spans="1:19" x14ac:dyDescent="0.25">
      <c r="A289" s="201"/>
      <c r="B289" s="182"/>
      <c r="C289" s="191"/>
      <c r="D289" s="182"/>
      <c r="E289" s="182"/>
      <c r="F289" s="172"/>
      <c r="G289" s="173"/>
      <c r="H289" s="172"/>
      <c r="I289" s="173"/>
      <c r="J289" s="182"/>
      <c r="K289" s="88"/>
      <c r="L289" s="182"/>
      <c r="M289" s="22" t="s">
        <v>876</v>
      </c>
      <c r="N289" s="91">
        <v>250</v>
      </c>
      <c r="O289" s="88">
        <v>24.7</v>
      </c>
      <c r="P289" s="96"/>
      <c r="Q289" s="96">
        <f>15+15+10+15+1+15+15</f>
        <v>86</v>
      </c>
      <c r="R289" s="96">
        <f t="shared" ref="R289:R352" si="37">Q289+P289+O289</f>
        <v>110.7</v>
      </c>
      <c r="S289" s="2">
        <f t="shared" si="31"/>
        <v>0.48130434782608694</v>
      </c>
    </row>
    <row r="290" spans="1:19" x14ac:dyDescent="0.25">
      <c r="A290" s="201"/>
      <c r="B290" s="182"/>
      <c r="C290" s="191"/>
      <c r="D290" s="182"/>
      <c r="E290" s="182"/>
      <c r="F290" s="172"/>
      <c r="G290" s="173"/>
      <c r="H290" s="172"/>
      <c r="I290" s="173"/>
      <c r="J290" s="182"/>
      <c r="K290" s="88"/>
      <c r="L290" s="182"/>
      <c r="M290" s="22" t="s">
        <v>877</v>
      </c>
      <c r="N290" s="91">
        <v>160</v>
      </c>
      <c r="O290" s="88">
        <v>58.14</v>
      </c>
      <c r="P290" s="96"/>
      <c r="Q290" s="96"/>
      <c r="R290" s="96">
        <f t="shared" si="37"/>
        <v>58.14</v>
      </c>
      <c r="S290" s="2">
        <f t="shared" si="31"/>
        <v>0.3949728260869565</v>
      </c>
    </row>
    <row r="291" spans="1:19" x14ac:dyDescent="0.25">
      <c r="A291" s="201"/>
      <c r="B291" s="182"/>
      <c r="C291" s="191"/>
      <c r="D291" s="182"/>
      <c r="E291" s="182"/>
      <c r="F291" s="172"/>
      <c r="G291" s="173"/>
      <c r="H291" s="172"/>
      <c r="I291" s="173"/>
      <c r="J291" s="182"/>
      <c r="K291" s="88">
        <v>0.17</v>
      </c>
      <c r="L291" s="182"/>
      <c r="M291" s="22" t="s">
        <v>878</v>
      </c>
      <c r="N291" s="91">
        <v>160</v>
      </c>
      <c r="O291" s="88">
        <v>6.41</v>
      </c>
      <c r="P291" s="96"/>
      <c r="Q291" s="96"/>
      <c r="R291" s="96">
        <f t="shared" si="37"/>
        <v>6.41</v>
      </c>
      <c r="S291" s="2">
        <f t="shared" si="31"/>
        <v>4.3546195652173908E-2</v>
      </c>
    </row>
    <row r="292" spans="1:19" x14ac:dyDescent="0.25">
      <c r="A292" s="201"/>
      <c r="B292" s="182"/>
      <c r="C292" s="191"/>
      <c r="D292" s="182"/>
      <c r="E292" s="182"/>
      <c r="F292" s="172"/>
      <c r="G292" s="173"/>
      <c r="H292" s="172"/>
      <c r="I292" s="173"/>
      <c r="J292" s="182"/>
      <c r="K292" s="88"/>
      <c r="L292" s="182"/>
      <c r="M292" s="22" t="s">
        <v>879</v>
      </c>
      <c r="N292" s="3">
        <f>2*400</f>
        <v>800</v>
      </c>
      <c r="O292" s="88">
        <v>145.16</v>
      </c>
      <c r="P292" s="96"/>
      <c r="Q292" s="96"/>
      <c r="R292" s="96">
        <f t="shared" si="37"/>
        <v>145.16</v>
      </c>
      <c r="S292" s="2">
        <f t="shared" si="31"/>
        <v>0.19722826086956521</v>
      </c>
    </row>
    <row r="293" spans="1:19" x14ac:dyDescent="0.25">
      <c r="A293" s="201"/>
      <c r="B293" s="182"/>
      <c r="C293" s="191"/>
      <c r="D293" s="182"/>
      <c r="E293" s="182"/>
      <c r="F293" s="172"/>
      <c r="G293" s="173"/>
      <c r="H293" s="172"/>
      <c r="I293" s="173"/>
      <c r="J293" s="182"/>
      <c r="K293" s="88">
        <v>0.25</v>
      </c>
      <c r="L293" s="182"/>
      <c r="M293" s="22" t="s">
        <v>880</v>
      </c>
      <c r="N293" s="91">
        <v>400</v>
      </c>
      <c r="O293" s="88">
        <v>12.71</v>
      </c>
      <c r="P293" s="96"/>
      <c r="Q293" s="96"/>
      <c r="R293" s="96">
        <f t="shared" si="37"/>
        <v>12.71</v>
      </c>
      <c r="S293" s="2">
        <f t="shared" si="31"/>
        <v>3.4538043478260873E-2</v>
      </c>
    </row>
    <row r="294" spans="1:19" x14ac:dyDescent="0.25">
      <c r="A294" s="201"/>
      <c r="B294" s="182"/>
      <c r="C294" s="191"/>
      <c r="D294" s="182"/>
      <c r="E294" s="182"/>
      <c r="F294" s="172"/>
      <c r="G294" s="173"/>
      <c r="H294" s="172"/>
      <c r="I294" s="173"/>
      <c r="J294" s="182"/>
      <c r="K294" s="88"/>
      <c r="L294" s="182"/>
      <c r="M294" s="22" t="s">
        <v>881</v>
      </c>
      <c r="N294" s="3">
        <f>2*630</f>
        <v>1260</v>
      </c>
      <c r="O294" s="88">
        <v>361</v>
      </c>
      <c r="P294" s="96"/>
      <c r="Q294" s="96">
        <f>170</f>
        <v>170</v>
      </c>
      <c r="R294" s="96">
        <f t="shared" si="37"/>
        <v>531</v>
      </c>
      <c r="S294" s="2">
        <f t="shared" si="31"/>
        <v>0.45807453416149069</v>
      </c>
    </row>
    <row r="295" spans="1:19" x14ac:dyDescent="0.25">
      <c r="A295" s="201"/>
      <c r="B295" s="182"/>
      <c r="C295" s="191"/>
      <c r="D295" s="182"/>
      <c r="E295" s="182"/>
      <c r="F295" s="172"/>
      <c r="G295" s="173"/>
      <c r="H295" s="174"/>
      <c r="I295" s="175"/>
      <c r="J295" s="182"/>
      <c r="K295" s="88">
        <v>0.02</v>
      </c>
      <c r="L295" s="182"/>
      <c r="M295" s="22" t="s">
        <v>882</v>
      </c>
      <c r="N295" s="91">
        <v>250</v>
      </c>
      <c r="O295" s="88">
        <v>9.33</v>
      </c>
      <c r="P295" s="96"/>
      <c r="Q295" s="96"/>
      <c r="R295" s="96">
        <f t="shared" si="37"/>
        <v>9.33</v>
      </c>
      <c r="S295" s="2">
        <f t="shared" si="31"/>
        <v>4.0565217391304351E-2</v>
      </c>
    </row>
    <row r="296" spans="1:19" x14ac:dyDescent="0.25">
      <c r="A296" s="201"/>
      <c r="B296" s="182"/>
      <c r="C296" s="191"/>
      <c r="D296" s="182"/>
      <c r="E296" s="182"/>
      <c r="F296" s="172"/>
      <c r="G296" s="173"/>
      <c r="H296" s="169" t="s">
        <v>809</v>
      </c>
      <c r="I296" s="169"/>
      <c r="J296" s="182"/>
      <c r="K296" s="88">
        <v>0.5</v>
      </c>
      <c r="L296" s="182"/>
      <c r="M296" s="22" t="s">
        <v>883</v>
      </c>
      <c r="N296" s="91">
        <v>400</v>
      </c>
      <c r="O296" s="88">
        <v>20.94</v>
      </c>
      <c r="P296" s="96"/>
      <c r="Q296" s="96"/>
      <c r="R296" s="96">
        <f t="shared" si="37"/>
        <v>20.94</v>
      </c>
      <c r="S296" s="2">
        <f t="shared" si="31"/>
        <v>5.6902173913043481E-2</v>
      </c>
    </row>
    <row r="297" spans="1:19" x14ac:dyDescent="0.25">
      <c r="A297" s="201"/>
      <c r="B297" s="182"/>
      <c r="C297" s="191"/>
      <c r="D297" s="182"/>
      <c r="E297" s="182"/>
      <c r="F297" s="172"/>
      <c r="G297" s="173"/>
      <c r="H297" s="170" t="s">
        <v>812</v>
      </c>
      <c r="I297" s="171"/>
      <c r="J297" s="182"/>
      <c r="K297" s="88"/>
      <c r="L297" s="182"/>
      <c r="M297" s="22" t="s">
        <v>884</v>
      </c>
      <c r="N297" s="91">
        <v>250</v>
      </c>
      <c r="O297" s="88">
        <v>30.78</v>
      </c>
      <c r="P297" s="96"/>
      <c r="Q297" s="96">
        <f>15+10+10</f>
        <v>35</v>
      </c>
      <c r="R297" s="96">
        <f t="shared" si="37"/>
        <v>65.78</v>
      </c>
      <c r="S297" s="2">
        <f t="shared" si="31"/>
        <v>0.28600000000000003</v>
      </c>
    </row>
    <row r="298" spans="1:19" x14ac:dyDescent="0.25">
      <c r="A298" s="201"/>
      <c r="B298" s="182"/>
      <c r="C298" s="191"/>
      <c r="D298" s="182"/>
      <c r="E298" s="182"/>
      <c r="F298" s="172"/>
      <c r="G298" s="173"/>
      <c r="H298" s="172"/>
      <c r="I298" s="173"/>
      <c r="J298" s="182"/>
      <c r="K298" s="88">
        <v>0.2</v>
      </c>
      <c r="L298" s="182"/>
      <c r="M298" s="22" t="s">
        <v>885</v>
      </c>
      <c r="N298" s="91">
        <v>250</v>
      </c>
      <c r="O298" s="88">
        <v>13.21</v>
      </c>
      <c r="P298" s="96"/>
      <c r="Q298" s="96"/>
      <c r="R298" s="96">
        <f t="shared" si="37"/>
        <v>13.21</v>
      </c>
      <c r="S298" s="2">
        <f t="shared" si="31"/>
        <v>5.7434782608695653E-2</v>
      </c>
    </row>
    <row r="299" spans="1:19" x14ac:dyDescent="0.25">
      <c r="A299" s="201"/>
      <c r="B299" s="182"/>
      <c r="C299" s="191"/>
      <c r="D299" s="182"/>
      <c r="E299" s="182"/>
      <c r="F299" s="172"/>
      <c r="G299" s="173"/>
      <c r="H299" s="172"/>
      <c r="I299" s="173"/>
      <c r="J299" s="182"/>
      <c r="K299" s="88"/>
      <c r="L299" s="182"/>
      <c r="M299" s="27" t="s">
        <v>886</v>
      </c>
      <c r="N299" s="91">
        <v>400</v>
      </c>
      <c r="O299" s="88">
        <v>193.8</v>
      </c>
      <c r="P299" s="96"/>
      <c r="Q299" s="96">
        <f>15+15+15+15+15</f>
        <v>75</v>
      </c>
      <c r="R299" s="96">
        <f t="shared" si="37"/>
        <v>268.8</v>
      </c>
      <c r="S299" s="2">
        <f t="shared" si="31"/>
        <v>0.73043478260869565</v>
      </c>
    </row>
    <row r="300" spans="1:19" x14ac:dyDescent="0.25">
      <c r="A300" s="201"/>
      <c r="B300" s="182"/>
      <c r="C300" s="191"/>
      <c r="D300" s="182"/>
      <c r="E300" s="182"/>
      <c r="F300" s="172"/>
      <c r="G300" s="173"/>
      <c r="H300" s="172"/>
      <c r="I300" s="173"/>
      <c r="J300" s="182"/>
      <c r="K300" s="88"/>
      <c r="L300" s="182"/>
      <c r="M300" s="21" t="s">
        <v>887</v>
      </c>
      <c r="N300" s="3">
        <f>2*400</f>
        <v>800</v>
      </c>
      <c r="O300" s="88">
        <v>90.06</v>
      </c>
      <c r="P300" s="96"/>
      <c r="Q300" s="96"/>
      <c r="R300" s="96">
        <f t="shared" si="37"/>
        <v>90.06</v>
      </c>
      <c r="S300" s="2">
        <f t="shared" si="31"/>
        <v>0.12236413043478261</v>
      </c>
    </row>
    <row r="301" spans="1:19" x14ac:dyDescent="0.25">
      <c r="A301" s="202"/>
      <c r="B301" s="182"/>
      <c r="C301" s="191"/>
      <c r="D301" s="182"/>
      <c r="E301" s="182"/>
      <c r="F301" s="174"/>
      <c r="G301" s="175"/>
      <c r="H301" s="172"/>
      <c r="I301" s="173"/>
      <c r="J301" s="182"/>
      <c r="K301" s="88"/>
      <c r="L301" s="183"/>
      <c r="M301" s="22" t="s">
        <v>888</v>
      </c>
      <c r="N301" s="3">
        <f>2*250</f>
        <v>500</v>
      </c>
      <c r="O301" s="88">
        <v>98.8</v>
      </c>
      <c r="P301" s="96"/>
      <c r="Q301" s="96"/>
      <c r="R301" s="96">
        <f t="shared" si="37"/>
        <v>98.8</v>
      </c>
      <c r="S301" s="2">
        <f t="shared" si="31"/>
        <v>0.21478260869565216</v>
      </c>
    </row>
    <row r="302" spans="1:19" x14ac:dyDescent="0.25">
      <c r="A302" s="203">
        <f>A280+1</f>
        <v>7</v>
      </c>
      <c r="B302" s="182"/>
      <c r="C302" s="191"/>
      <c r="D302" s="182"/>
      <c r="E302" s="182"/>
      <c r="F302" s="170" t="s">
        <v>43</v>
      </c>
      <c r="G302" s="171"/>
      <c r="H302" s="172"/>
      <c r="I302" s="173"/>
      <c r="J302" s="182"/>
      <c r="K302" s="88"/>
      <c r="L302" s="181">
        <v>1.619</v>
      </c>
      <c r="M302" s="25" t="s">
        <v>889</v>
      </c>
      <c r="N302" s="3">
        <f>2*630</f>
        <v>1260</v>
      </c>
      <c r="O302" s="88">
        <v>129.96</v>
      </c>
      <c r="P302" s="96"/>
      <c r="Q302" s="96"/>
      <c r="R302" s="96">
        <f t="shared" si="37"/>
        <v>129.96</v>
      </c>
      <c r="S302" s="2">
        <f t="shared" si="31"/>
        <v>0.11211180124223603</v>
      </c>
    </row>
    <row r="303" spans="1:19" x14ac:dyDescent="0.25">
      <c r="A303" s="201"/>
      <c r="B303" s="182"/>
      <c r="C303" s="191"/>
      <c r="D303" s="182"/>
      <c r="E303" s="182"/>
      <c r="F303" s="172"/>
      <c r="G303" s="173"/>
      <c r="H303" s="172"/>
      <c r="I303" s="173"/>
      <c r="J303" s="182"/>
      <c r="K303" s="88"/>
      <c r="L303" s="182"/>
      <c r="M303" s="21" t="s">
        <v>890</v>
      </c>
      <c r="N303" s="91">
        <v>400</v>
      </c>
      <c r="O303" s="88">
        <v>1.52</v>
      </c>
      <c r="P303" s="96"/>
      <c r="Q303" s="96"/>
      <c r="R303" s="96">
        <f t="shared" si="37"/>
        <v>1.52</v>
      </c>
      <c r="S303" s="2">
        <f t="shared" si="31"/>
        <v>4.1304347826086954E-3</v>
      </c>
    </row>
    <row r="304" spans="1:19" x14ac:dyDescent="0.25">
      <c r="A304" s="201"/>
      <c r="B304" s="182"/>
      <c r="C304" s="191"/>
      <c r="D304" s="182"/>
      <c r="E304" s="182"/>
      <c r="F304" s="172"/>
      <c r="G304" s="173"/>
      <c r="H304" s="172"/>
      <c r="I304" s="173"/>
      <c r="J304" s="182"/>
      <c r="K304" s="181">
        <v>0.95</v>
      </c>
      <c r="L304" s="182"/>
      <c r="M304" s="21" t="s">
        <v>891</v>
      </c>
      <c r="N304" s="3">
        <f>2*630</f>
        <v>1260</v>
      </c>
      <c r="O304" s="181">
        <v>75.27</v>
      </c>
      <c r="P304" s="181"/>
      <c r="Q304" s="181"/>
      <c r="R304" s="181">
        <f>O304+P304+Q304</f>
        <v>75.27</v>
      </c>
      <c r="S304" s="2">
        <f t="shared" si="31"/>
        <v>6.4932712215320904E-2</v>
      </c>
    </row>
    <row r="305" spans="1:19" hidden="1" x14ac:dyDescent="0.25">
      <c r="A305" s="201"/>
      <c r="B305" s="182"/>
      <c r="C305" s="191"/>
      <c r="D305" s="182"/>
      <c r="E305" s="182"/>
      <c r="F305" s="172"/>
      <c r="G305" s="173"/>
      <c r="H305" s="172"/>
      <c r="I305" s="173"/>
      <c r="J305" s="182"/>
      <c r="K305" s="182"/>
      <c r="L305" s="182"/>
      <c r="M305" s="21" t="s">
        <v>892</v>
      </c>
      <c r="N305" s="91" t="s">
        <v>893</v>
      </c>
      <c r="O305" s="182"/>
      <c r="P305" s="182"/>
      <c r="Q305" s="182"/>
      <c r="R305" s="182">
        <f t="shared" si="37"/>
        <v>0</v>
      </c>
      <c r="S305" s="93"/>
    </row>
    <row r="306" spans="1:19" hidden="1" x14ac:dyDescent="0.25">
      <c r="A306" s="201"/>
      <c r="B306" s="182"/>
      <c r="C306" s="191"/>
      <c r="D306" s="182"/>
      <c r="E306" s="182"/>
      <c r="F306" s="172"/>
      <c r="G306" s="173"/>
      <c r="H306" s="172"/>
      <c r="I306" s="173"/>
      <c r="J306" s="182"/>
      <c r="K306" s="182"/>
      <c r="L306" s="182"/>
      <c r="M306" s="21" t="s">
        <v>894</v>
      </c>
      <c r="N306" s="91" t="s">
        <v>265</v>
      </c>
      <c r="O306" s="182"/>
      <c r="P306" s="182"/>
      <c r="Q306" s="182"/>
      <c r="R306" s="182">
        <f t="shared" si="37"/>
        <v>0</v>
      </c>
      <c r="S306" s="93"/>
    </row>
    <row r="307" spans="1:19" hidden="1" x14ac:dyDescent="0.25">
      <c r="A307" s="201"/>
      <c r="B307" s="182"/>
      <c r="C307" s="191"/>
      <c r="D307" s="182"/>
      <c r="E307" s="182"/>
      <c r="F307" s="172"/>
      <c r="G307" s="173"/>
      <c r="H307" s="172"/>
      <c r="I307" s="173"/>
      <c r="J307" s="182"/>
      <c r="K307" s="182"/>
      <c r="L307" s="182"/>
      <c r="M307" s="21" t="s">
        <v>895</v>
      </c>
      <c r="N307" s="91" t="s">
        <v>896</v>
      </c>
      <c r="O307" s="182"/>
      <c r="P307" s="182"/>
      <c r="Q307" s="182"/>
      <c r="R307" s="182">
        <f t="shared" si="37"/>
        <v>0</v>
      </c>
      <c r="S307" s="93"/>
    </row>
    <row r="308" spans="1:19" hidden="1" x14ac:dyDescent="0.25">
      <c r="A308" s="201"/>
      <c r="B308" s="182"/>
      <c r="C308" s="191"/>
      <c r="D308" s="182"/>
      <c r="E308" s="182"/>
      <c r="F308" s="172"/>
      <c r="G308" s="173"/>
      <c r="H308" s="172"/>
      <c r="I308" s="173"/>
      <c r="J308" s="182"/>
      <c r="K308" s="182"/>
      <c r="L308" s="182"/>
      <c r="M308" s="21" t="s">
        <v>897</v>
      </c>
      <c r="N308" s="91">
        <v>63</v>
      </c>
      <c r="O308" s="182"/>
      <c r="P308" s="182"/>
      <c r="Q308" s="182"/>
      <c r="R308" s="182">
        <f t="shared" si="37"/>
        <v>0</v>
      </c>
      <c r="S308" s="93"/>
    </row>
    <row r="309" spans="1:19" hidden="1" x14ac:dyDescent="0.25">
      <c r="A309" s="201"/>
      <c r="B309" s="182"/>
      <c r="C309" s="191"/>
      <c r="D309" s="182"/>
      <c r="E309" s="182"/>
      <c r="F309" s="172"/>
      <c r="G309" s="173"/>
      <c r="H309" s="172"/>
      <c r="I309" s="173"/>
      <c r="J309" s="182"/>
      <c r="K309" s="182"/>
      <c r="L309" s="182"/>
      <c r="M309" s="21" t="s">
        <v>898</v>
      </c>
      <c r="N309" s="91" t="s">
        <v>896</v>
      </c>
      <c r="O309" s="182"/>
      <c r="P309" s="182"/>
      <c r="Q309" s="182"/>
      <c r="R309" s="182">
        <f t="shared" si="37"/>
        <v>0</v>
      </c>
      <c r="S309" s="93"/>
    </row>
    <row r="310" spans="1:19" hidden="1" x14ac:dyDescent="0.25">
      <c r="A310" s="201"/>
      <c r="B310" s="182"/>
      <c r="C310" s="191"/>
      <c r="D310" s="182"/>
      <c r="E310" s="182"/>
      <c r="F310" s="172"/>
      <c r="G310" s="173"/>
      <c r="H310" s="174"/>
      <c r="I310" s="175"/>
      <c r="J310" s="182"/>
      <c r="K310" s="183"/>
      <c r="L310" s="182"/>
      <c r="M310" s="21" t="s">
        <v>899</v>
      </c>
      <c r="N310" s="91">
        <v>63</v>
      </c>
      <c r="O310" s="183"/>
      <c r="P310" s="183"/>
      <c r="Q310" s="183"/>
      <c r="R310" s="183">
        <f t="shared" si="37"/>
        <v>0</v>
      </c>
      <c r="S310" s="93"/>
    </row>
    <row r="311" spans="1:19" x14ac:dyDescent="0.25">
      <c r="A311" s="201"/>
      <c r="B311" s="182"/>
      <c r="C311" s="191"/>
      <c r="D311" s="182"/>
      <c r="E311" s="182"/>
      <c r="F311" s="172"/>
      <c r="G311" s="173"/>
      <c r="H311" s="169" t="s">
        <v>809</v>
      </c>
      <c r="I311" s="169"/>
      <c r="J311" s="182"/>
      <c r="K311" s="88">
        <v>0.32</v>
      </c>
      <c r="L311" s="182"/>
      <c r="M311" s="21" t="s">
        <v>900</v>
      </c>
      <c r="N311" s="91">
        <v>400</v>
      </c>
      <c r="O311" s="88">
        <v>80.34</v>
      </c>
      <c r="P311" s="96"/>
      <c r="Q311" s="96"/>
      <c r="R311" s="96">
        <f t="shared" si="37"/>
        <v>80.34</v>
      </c>
      <c r="S311" s="2">
        <f t="shared" ref="S311:S334" si="38">R311/(N311*0.92)</f>
        <v>0.21831521739130436</v>
      </c>
    </row>
    <row r="312" spans="1:19" x14ac:dyDescent="0.25">
      <c r="A312" s="201"/>
      <c r="B312" s="182"/>
      <c r="C312" s="191"/>
      <c r="D312" s="182"/>
      <c r="E312" s="182"/>
      <c r="F312" s="172"/>
      <c r="G312" s="173"/>
      <c r="H312" s="169" t="s">
        <v>812</v>
      </c>
      <c r="I312" s="169"/>
      <c r="J312" s="182"/>
      <c r="K312" s="88"/>
      <c r="L312" s="182"/>
      <c r="M312" s="21" t="s">
        <v>901</v>
      </c>
      <c r="N312" s="91">
        <v>400</v>
      </c>
      <c r="O312" s="88">
        <v>6.46</v>
      </c>
      <c r="P312" s="96"/>
      <c r="Q312" s="96">
        <f>15+30</f>
        <v>45</v>
      </c>
      <c r="R312" s="96">
        <f t="shared" si="37"/>
        <v>51.46</v>
      </c>
      <c r="S312" s="2">
        <f t="shared" si="38"/>
        <v>0.13983695652173914</v>
      </c>
    </row>
    <row r="313" spans="1:19" x14ac:dyDescent="0.25">
      <c r="A313" s="201"/>
      <c r="B313" s="182"/>
      <c r="C313" s="191"/>
      <c r="D313" s="182"/>
      <c r="E313" s="182"/>
      <c r="F313" s="172"/>
      <c r="G313" s="173"/>
      <c r="H313" s="169"/>
      <c r="I313" s="169"/>
      <c r="J313" s="182"/>
      <c r="K313" s="88">
        <v>0.32</v>
      </c>
      <c r="L313" s="182"/>
      <c r="M313" s="21" t="s">
        <v>902</v>
      </c>
      <c r="N313" s="91">
        <v>400</v>
      </c>
      <c r="O313" s="88">
        <v>0.65</v>
      </c>
      <c r="P313" s="96"/>
      <c r="Q313" s="96"/>
      <c r="R313" s="96">
        <f t="shared" si="37"/>
        <v>0.65</v>
      </c>
      <c r="S313" s="2">
        <f t="shared" si="38"/>
        <v>1.766304347826087E-3</v>
      </c>
    </row>
    <row r="314" spans="1:19" x14ac:dyDescent="0.25">
      <c r="A314" s="201"/>
      <c r="B314" s="182"/>
      <c r="C314" s="191"/>
      <c r="D314" s="182"/>
      <c r="E314" s="182"/>
      <c r="F314" s="172"/>
      <c r="G314" s="173"/>
      <c r="H314" s="169"/>
      <c r="I314" s="169"/>
      <c r="J314" s="182"/>
      <c r="K314" s="88"/>
      <c r="L314" s="182"/>
      <c r="M314" s="21" t="s">
        <v>903</v>
      </c>
      <c r="N314" s="91">
        <v>250</v>
      </c>
      <c r="O314" s="88">
        <v>4.5599999999999996</v>
      </c>
      <c r="P314" s="96"/>
      <c r="Q314" s="96"/>
      <c r="R314" s="96">
        <f t="shared" si="37"/>
        <v>4.5599999999999996</v>
      </c>
      <c r="S314" s="2">
        <f t="shared" si="38"/>
        <v>1.9826086956521737E-2</v>
      </c>
    </row>
    <row r="315" spans="1:19" x14ac:dyDescent="0.25">
      <c r="A315" s="201"/>
      <c r="B315" s="182"/>
      <c r="C315" s="191"/>
      <c r="D315" s="182"/>
      <c r="E315" s="182"/>
      <c r="F315" s="172"/>
      <c r="G315" s="173"/>
      <c r="H315" s="169"/>
      <c r="I315" s="169"/>
      <c r="J315" s="182"/>
      <c r="K315" s="88">
        <v>0.125</v>
      </c>
      <c r="L315" s="182"/>
      <c r="M315" s="21" t="s">
        <v>904</v>
      </c>
      <c r="N315" s="91">
        <v>250</v>
      </c>
      <c r="O315" s="88">
        <v>55.13</v>
      </c>
      <c r="P315" s="96"/>
      <c r="Q315" s="96"/>
      <c r="R315" s="96">
        <f t="shared" si="37"/>
        <v>55.13</v>
      </c>
      <c r="S315" s="2">
        <f t="shared" si="38"/>
        <v>0.23969565217391306</v>
      </c>
    </row>
    <row r="316" spans="1:19" x14ac:dyDescent="0.25">
      <c r="A316" s="201"/>
      <c r="B316" s="182"/>
      <c r="C316" s="191"/>
      <c r="D316" s="182"/>
      <c r="E316" s="182"/>
      <c r="F316" s="172"/>
      <c r="G316" s="173"/>
      <c r="H316" s="170" t="s">
        <v>809</v>
      </c>
      <c r="I316" s="171"/>
      <c r="J316" s="182"/>
      <c r="K316" s="88">
        <v>0.32</v>
      </c>
      <c r="L316" s="182"/>
      <c r="M316" s="21" t="s">
        <v>905</v>
      </c>
      <c r="N316" s="91">
        <v>400</v>
      </c>
      <c r="O316" s="88">
        <v>93.86</v>
      </c>
      <c r="P316" s="96"/>
      <c r="Q316" s="96"/>
      <c r="R316" s="96">
        <f t="shared" si="37"/>
        <v>93.86</v>
      </c>
      <c r="S316" s="2">
        <f t="shared" si="38"/>
        <v>0.25505434782608694</v>
      </c>
    </row>
    <row r="317" spans="1:19" x14ac:dyDescent="0.25">
      <c r="A317" s="201"/>
      <c r="B317" s="182"/>
      <c r="C317" s="191"/>
      <c r="D317" s="182"/>
      <c r="E317" s="182"/>
      <c r="F317" s="172"/>
      <c r="G317" s="173"/>
      <c r="H317" s="174"/>
      <c r="I317" s="175"/>
      <c r="J317" s="182"/>
      <c r="K317" s="88">
        <v>4.7E-2</v>
      </c>
      <c r="L317" s="182"/>
      <c r="M317" s="21" t="s">
        <v>906</v>
      </c>
      <c r="N317" s="91">
        <v>400</v>
      </c>
      <c r="O317" s="88">
        <v>179.43</v>
      </c>
      <c r="P317" s="96"/>
      <c r="Q317" s="96"/>
      <c r="R317" s="96">
        <f t="shared" si="37"/>
        <v>179.43</v>
      </c>
      <c r="S317" s="2">
        <f t="shared" si="38"/>
        <v>0.48758152173913044</v>
      </c>
    </row>
    <row r="318" spans="1:19" x14ac:dyDescent="0.25">
      <c r="A318" s="201"/>
      <c r="B318" s="182"/>
      <c r="C318" s="191"/>
      <c r="D318" s="182"/>
      <c r="E318" s="182"/>
      <c r="F318" s="172"/>
      <c r="G318" s="173"/>
      <c r="H318" s="170" t="s">
        <v>812</v>
      </c>
      <c r="I318" s="171"/>
      <c r="J318" s="182"/>
      <c r="K318" s="88"/>
      <c r="L318" s="182"/>
      <c r="M318" s="21" t="s">
        <v>907</v>
      </c>
      <c r="N318" s="3">
        <f>2*630</f>
        <v>1260</v>
      </c>
      <c r="O318" s="88">
        <v>3.04</v>
      </c>
      <c r="P318" s="96"/>
      <c r="Q318" s="96"/>
      <c r="R318" s="96">
        <f t="shared" si="37"/>
        <v>3.04</v>
      </c>
      <c r="S318" s="2">
        <f t="shared" si="38"/>
        <v>2.6224982746721878E-3</v>
      </c>
    </row>
    <row r="319" spans="1:19" x14ac:dyDescent="0.25">
      <c r="A319" s="201"/>
      <c r="B319" s="182"/>
      <c r="C319" s="191"/>
      <c r="D319" s="182"/>
      <c r="E319" s="182"/>
      <c r="F319" s="172"/>
      <c r="G319" s="173"/>
      <c r="H319" s="174"/>
      <c r="I319" s="175"/>
      <c r="J319" s="182"/>
      <c r="K319" s="88"/>
      <c r="L319" s="182"/>
      <c r="M319" s="21" t="s">
        <v>908</v>
      </c>
      <c r="N319" s="91">
        <v>400</v>
      </c>
      <c r="O319" s="88">
        <v>417.24</v>
      </c>
      <c r="P319" s="96"/>
      <c r="Q319" s="96"/>
      <c r="R319" s="96">
        <f t="shared" si="37"/>
        <v>417.24</v>
      </c>
      <c r="S319" s="2">
        <f t="shared" si="38"/>
        <v>1.1338043478260871</v>
      </c>
    </row>
    <row r="320" spans="1:19" x14ac:dyDescent="0.25">
      <c r="A320" s="201"/>
      <c r="B320" s="182"/>
      <c r="C320" s="191"/>
      <c r="D320" s="182"/>
      <c r="E320" s="182"/>
      <c r="F320" s="172"/>
      <c r="G320" s="173"/>
      <c r="H320" s="169" t="s">
        <v>809</v>
      </c>
      <c r="I320" s="169"/>
      <c r="J320" s="182"/>
      <c r="K320" s="88">
        <v>0.15</v>
      </c>
      <c r="L320" s="182"/>
      <c r="M320" s="21" t="s">
        <v>909</v>
      </c>
      <c r="N320" s="91">
        <v>400</v>
      </c>
      <c r="O320" s="88">
        <v>42.91</v>
      </c>
      <c r="P320" s="96"/>
      <c r="Q320" s="96"/>
      <c r="R320" s="96">
        <f t="shared" si="37"/>
        <v>42.91</v>
      </c>
      <c r="S320" s="2">
        <f t="shared" si="38"/>
        <v>0.11660326086956521</v>
      </c>
    </row>
    <row r="321" spans="1:19" x14ac:dyDescent="0.25">
      <c r="A321" s="201"/>
      <c r="B321" s="182"/>
      <c r="C321" s="191"/>
      <c r="D321" s="182"/>
      <c r="E321" s="182"/>
      <c r="F321" s="172"/>
      <c r="G321" s="173"/>
      <c r="H321" s="170" t="s">
        <v>812</v>
      </c>
      <c r="I321" s="171"/>
      <c r="J321" s="182"/>
      <c r="K321" s="88"/>
      <c r="L321" s="182"/>
      <c r="M321" s="21" t="s">
        <v>910</v>
      </c>
      <c r="N321" s="91">
        <v>630</v>
      </c>
      <c r="O321" s="88">
        <v>334.02</v>
      </c>
      <c r="P321" s="96"/>
      <c r="Q321" s="96">
        <f>15</f>
        <v>15</v>
      </c>
      <c r="R321" s="96">
        <f t="shared" si="37"/>
        <v>349.02</v>
      </c>
      <c r="S321" s="2">
        <f t="shared" si="38"/>
        <v>0.60217391304347823</v>
      </c>
    </row>
    <row r="322" spans="1:19" x14ac:dyDescent="0.25">
      <c r="A322" s="201"/>
      <c r="B322" s="182"/>
      <c r="C322" s="191"/>
      <c r="D322" s="182"/>
      <c r="E322" s="182"/>
      <c r="F322" s="172"/>
      <c r="G322" s="173"/>
      <c r="H322" s="172"/>
      <c r="I322" s="173"/>
      <c r="J322" s="182"/>
      <c r="K322" s="88"/>
      <c r="L322" s="182"/>
      <c r="M322" s="22" t="s">
        <v>911</v>
      </c>
      <c r="N322" s="91">
        <v>250</v>
      </c>
      <c r="O322" s="88">
        <v>137.18</v>
      </c>
      <c r="P322" s="96"/>
      <c r="Q322" s="96">
        <f>15+15+15</f>
        <v>45</v>
      </c>
      <c r="R322" s="96">
        <f t="shared" si="37"/>
        <v>182.18</v>
      </c>
      <c r="S322" s="2">
        <f t="shared" si="38"/>
        <v>0.79208695652173911</v>
      </c>
    </row>
    <row r="323" spans="1:19" x14ac:dyDescent="0.25">
      <c r="A323" s="201"/>
      <c r="B323" s="182"/>
      <c r="C323" s="191"/>
      <c r="D323" s="182"/>
      <c r="E323" s="182"/>
      <c r="F323" s="172"/>
      <c r="G323" s="173"/>
      <c r="H323" s="172"/>
      <c r="I323" s="173"/>
      <c r="J323" s="182"/>
      <c r="K323" s="88"/>
      <c r="L323" s="182"/>
      <c r="M323" s="28" t="s">
        <v>912</v>
      </c>
      <c r="N323" s="160">
        <f>2*1000</f>
        <v>2000</v>
      </c>
      <c r="O323" s="88">
        <v>2.95</v>
      </c>
      <c r="P323" s="96"/>
      <c r="Q323" s="96"/>
      <c r="R323" s="96">
        <f t="shared" si="37"/>
        <v>2.95</v>
      </c>
      <c r="S323" s="2">
        <f t="shared" si="38"/>
        <v>1.6032608695652176E-3</v>
      </c>
    </row>
    <row r="324" spans="1:19" x14ac:dyDescent="0.25">
      <c r="A324" s="202"/>
      <c r="B324" s="182"/>
      <c r="C324" s="191"/>
      <c r="D324" s="182"/>
      <c r="E324" s="182"/>
      <c r="F324" s="174"/>
      <c r="G324" s="175"/>
      <c r="H324" s="172"/>
      <c r="I324" s="173"/>
      <c r="J324" s="182"/>
      <c r="K324" s="88"/>
      <c r="L324" s="183"/>
      <c r="M324" s="29" t="s">
        <v>913</v>
      </c>
      <c r="N324" s="3">
        <f t="shared" ref="N324:N325" si="39">2*400</f>
        <v>800</v>
      </c>
      <c r="O324" s="88">
        <v>12.86</v>
      </c>
      <c r="P324" s="96"/>
      <c r="Q324" s="96"/>
      <c r="R324" s="96">
        <f t="shared" si="37"/>
        <v>12.86</v>
      </c>
      <c r="S324" s="2">
        <f t="shared" si="38"/>
        <v>1.7472826086956522E-2</v>
      </c>
    </row>
    <row r="325" spans="1:19" x14ac:dyDescent="0.25">
      <c r="A325" s="203">
        <f>A302+1</f>
        <v>8</v>
      </c>
      <c r="B325" s="182"/>
      <c r="C325" s="191"/>
      <c r="D325" s="182"/>
      <c r="E325" s="182"/>
      <c r="F325" s="170" t="s">
        <v>44</v>
      </c>
      <c r="G325" s="171"/>
      <c r="H325" s="172"/>
      <c r="I325" s="173"/>
      <c r="J325" s="182"/>
      <c r="K325" s="88"/>
      <c r="L325" s="181">
        <v>1.3879999999999999</v>
      </c>
      <c r="M325" s="29" t="s">
        <v>914</v>
      </c>
      <c r="N325" s="3">
        <f t="shared" si="39"/>
        <v>800</v>
      </c>
      <c r="O325" s="88">
        <v>2.1800000000000002</v>
      </c>
      <c r="P325" s="96"/>
      <c r="Q325" s="96"/>
      <c r="R325" s="96">
        <f t="shared" si="37"/>
        <v>2.1800000000000002</v>
      </c>
      <c r="S325" s="2">
        <f t="shared" si="38"/>
        <v>2.9619565217391306E-3</v>
      </c>
    </row>
    <row r="326" spans="1:19" x14ac:dyDescent="0.25">
      <c r="A326" s="201"/>
      <c r="B326" s="182"/>
      <c r="C326" s="191"/>
      <c r="D326" s="182"/>
      <c r="E326" s="182"/>
      <c r="F326" s="172"/>
      <c r="G326" s="173"/>
      <c r="H326" s="172"/>
      <c r="I326" s="173"/>
      <c r="J326" s="182"/>
      <c r="K326" s="88"/>
      <c r="L326" s="182"/>
      <c r="M326" s="28" t="s">
        <v>915</v>
      </c>
      <c r="N326" s="160">
        <f>2*1000</f>
        <v>2000</v>
      </c>
      <c r="O326" s="88">
        <v>100.8</v>
      </c>
      <c r="P326" s="96"/>
      <c r="Q326" s="96"/>
      <c r="R326" s="96">
        <f t="shared" si="37"/>
        <v>100.8</v>
      </c>
      <c r="S326" s="2">
        <f t="shared" si="38"/>
        <v>5.4782608695652171E-2</v>
      </c>
    </row>
    <row r="327" spans="1:19" x14ac:dyDescent="0.25">
      <c r="A327" s="201"/>
      <c r="B327" s="182"/>
      <c r="C327" s="191"/>
      <c r="D327" s="182"/>
      <c r="E327" s="182"/>
      <c r="F327" s="172"/>
      <c r="G327" s="173"/>
      <c r="H327" s="172"/>
      <c r="I327" s="173"/>
      <c r="J327" s="182"/>
      <c r="K327" s="88"/>
      <c r="L327" s="182"/>
      <c r="M327" s="24" t="s">
        <v>916</v>
      </c>
      <c r="N327" s="3">
        <f>2*630</f>
        <v>1260</v>
      </c>
      <c r="O327" s="88">
        <v>112.1</v>
      </c>
      <c r="P327" s="96"/>
      <c r="Q327" s="96"/>
      <c r="R327" s="96">
        <f t="shared" si="37"/>
        <v>112.1</v>
      </c>
      <c r="S327" s="2">
        <f t="shared" si="38"/>
        <v>9.6704623878536913E-2</v>
      </c>
    </row>
    <row r="328" spans="1:19" x14ac:dyDescent="0.25">
      <c r="A328" s="201"/>
      <c r="B328" s="182"/>
      <c r="C328" s="191"/>
      <c r="D328" s="182"/>
      <c r="E328" s="182"/>
      <c r="F328" s="172"/>
      <c r="G328" s="173"/>
      <c r="H328" s="172"/>
      <c r="I328" s="173"/>
      <c r="J328" s="182"/>
      <c r="K328" s="88"/>
      <c r="L328" s="182"/>
      <c r="M328" s="24" t="s">
        <v>917</v>
      </c>
      <c r="N328" s="91">
        <v>400</v>
      </c>
      <c r="O328" s="88">
        <v>142.5</v>
      </c>
      <c r="P328" s="96"/>
      <c r="Q328" s="96">
        <f>15</f>
        <v>15</v>
      </c>
      <c r="R328" s="96">
        <f t="shared" si="37"/>
        <v>157.5</v>
      </c>
      <c r="S328" s="2">
        <f t="shared" si="38"/>
        <v>0.42798913043478259</v>
      </c>
    </row>
    <row r="329" spans="1:19" x14ac:dyDescent="0.25">
      <c r="A329" s="201"/>
      <c r="B329" s="182"/>
      <c r="C329" s="191"/>
      <c r="D329" s="182"/>
      <c r="E329" s="182"/>
      <c r="F329" s="172"/>
      <c r="G329" s="173"/>
      <c r="H329" s="172"/>
      <c r="I329" s="173"/>
      <c r="J329" s="182"/>
      <c r="K329" s="88"/>
      <c r="L329" s="182"/>
      <c r="M329" s="24" t="s">
        <v>918</v>
      </c>
      <c r="N329" s="91">
        <v>250</v>
      </c>
      <c r="O329" s="88">
        <v>69.92</v>
      </c>
      <c r="P329" s="96"/>
      <c r="Q329" s="96"/>
      <c r="R329" s="96">
        <f t="shared" si="37"/>
        <v>69.92</v>
      </c>
      <c r="S329" s="2">
        <f t="shared" si="38"/>
        <v>0.30399999999999999</v>
      </c>
    </row>
    <row r="330" spans="1:19" x14ac:dyDescent="0.25">
      <c r="A330" s="201"/>
      <c r="B330" s="182"/>
      <c r="C330" s="191"/>
      <c r="D330" s="182"/>
      <c r="E330" s="182"/>
      <c r="F330" s="172"/>
      <c r="G330" s="173"/>
      <c r="H330" s="172"/>
      <c r="I330" s="173"/>
      <c r="J330" s="182"/>
      <c r="K330" s="88"/>
      <c r="L330" s="182"/>
      <c r="M330" s="24" t="s">
        <v>919</v>
      </c>
      <c r="N330" s="91">
        <v>250</v>
      </c>
      <c r="O330" s="88">
        <v>10.26</v>
      </c>
      <c r="P330" s="96"/>
      <c r="Q330" s="96">
        <f>15+11+15+5</f>
        <v>46</v>
      </c>
      <c r="R330" s="96">
        <f t="shared" si="37"/>
        <v>56.26</v>
      </c>
      <c r="S330" s="2">
        <f t="shared" si="38"/>
        <v>0.24460869565217391</v>
      </c>
    </row>
    <row r="331" spans="1:19" x14ac:dyDescent="0.25">
      <c r="A331" s="201"/>
      <c r="B331" s="182"/>
      <c r="C331" s="191"/>
      <c r="D331" s="182"/>
      <c r="E331" s="182"/>
      <c r="F331" s="172"/>
      <c r="G331" s="173"/>
      <c r="H331" s="174"/>
      <c r="I331" s="175"/>
      <c r="J331" s="182"/>
      <c r="K331" s="88"/>
      <c r="L331" s="182"/>
      <c r="M331" s="94" t="s">
        <v>920</v>
      </c>
      <c r="N331" s="91">
        <v>250</v>
      </c>
      <c r="O331" s="88">
        <v>1.9</v>
      </c>
      <c r="P331" s="96"/>
      <c r="Q331" s="96"/>
      <c r="R331" s="96">
        <f t="shared" si="37"/>
        <v>1.9</v>
      </c>
      <c r="S331" s="2">
        <f t="shared" si="38"/>
        <v>8.2608695652173908E-3</v>
      </c>
    </row>
    <row r="332" spans="1:19" x14ac:dyDescent="0.25">
      <c r="A332" s="201"/>
      <c r="B332" s="182"/>
      <c r="C332" s="191"/>
      <c r="D332" s="182"/>
      <c r="E332" s="182"/>
      <c r="F332" s="172"/>
      <c r="G332" s="173"/>
      <c r="H332" s="169" t="s">
        <v>921</v>
      </c>
      <c r="I332" s="169"/>
      <c r="J332" s="182"/>
      <c r="K332" s="88">
        <v>6.8000000000000005E-2</v>
      </c>
      <c r="L332" s="182"/>
      <c r="M332" s="94" t="s">
        <v>922</v>
      </c>
      <c r="N332" s="91">
        <v>250</v>
      </c>
      <c r="O332" s="88">
        <v>98.38</v>
      </c>
      <c r="P332" s="96"/>
      <c r="Q332" s="96"/>
      <c r="R332" s="96">
        <f t="shared" si="37"/>
        <v>98.38</v>
      </c>
      <c r="S332" s="2">
        <f t="shared" si="38"/>
        <v>0.42773913043478257</v>
      </c>
    </row>
    <row r="333" spans="1:19" x14ac:dyDescent="0.25">
      <c r="A333" s="201"/>
      <c r="B333" s="182"/>
      <c r="C333" s="191"/>
      <c r="D333" s="182"/>
      <c r="E333" s="182"/>
      <c r="F333" s="172"/>
      <c r="G333" s="173"/>
      <c r="H333" s="169"/>
      <c r="I333" s="169"/>
      <c r="J333" s="182"/>
      <c r="K333" s="88">
        <v>0.03</v>
      </c>
      <c r="L333" s="182"/>
      <c r="M333" s="24" t="s">
        <v>923</v>
      </c>
      <c r="N333" s="91">
        <v>400</v>
      </c>
      <c r="O333" s="88">
        <v>138.69</v>
      </c>
      <c r="P333" s="96"/>
      <c r="Q333" s="96"/>
      <c r="R333" s="96">
        <f t="shared" si="37"/>
        <v>138.69</v>
      </c>
      <c r="S333" s="2">
        <f t="shared" si="38"/>
        <v>0.37687500000000002</v>
      </c>
    </row>
    <row r="334" spans="1:19" x14ac:dyDescent="0.25">
      <c r="A334" s="201"/>
      <c r="B334" s="182"/>
      <c r="C334" s="191"/>
      <c r="D334" s="182"/>
      <c r="E334" s="182"/>
      <c r="F334" s="172"/>
      <c r="G334" s="173"/>
      <c r="H334" s="30"/>
      <c r="I334" s="31"/>
      <c r="J334" s="182"/>
      <c r="K334" s="88"/>
      <c r="L334" s="182"/>
      <c r="M334" s="94" t="s">
        <v>924</v>
      </c>
      <c r="N334" s="3">
        <f>2*630</f>
        <v>1260</v>
      </c>
      <c r="O334" s="88">
        <v>166.82</v>
      </c>
      <c r="P334" s="96"/>
      <c r="Q334" s="96"/>
      <c r="R334" s="96">
        <f t="shared" si="37"/>
        <v>166.82</v>
      </c>
      <c r="S334" s="2">
        <f t="shared" si="38"/>
        <v>0.1439095928226363</v>
      </c>
    </row>
    <row r="335" spans="1:19" hidden="1" x14ac:dyDescent="0.25">
      <c r="A335" s="201"/>
      <c r="B335" s="182"/>
      <c r="C335" s="191"/>
      <c r="D335" s="182"/>
      <c r="E335" s="182"/>
      <c r="F335" s="172"/>
      <c r="G335" s="173"/>
      <c r="H335" s="32"/>
      <c r="I335" s="33"/>
      <c r="J335" s="182"/>
      <c r="K335" s="88"/>
      <c r="L335" s="182"/>
      <c r="M335" s="94" t="s">
        <v>925</v>
      </c>
      <c r="N335" s="91">
        <v>400</v>
      </c>
      <c r="O335" s="88" t="s">
        <v>831</v>
      </c>
      <c r="P335" s="96"/>
      <c r="Q335" s="96"/>
      <c r="R335" s="96" t="e">
        <f t="shared" si="37"/>
        <v>#VALUE!</v>
      </c>
      <c r="S335" s="93"/>
    </row>
    <row r="336" spans="1:19" x14ac:dyDescent="0.25">
      <c r="A336" s="201"/>
      <c r="B336" s="182"/>
      <c r="C336" s="191"/>
      <c r="D336" s="182"/>
      <c r="E336" s="182"/>
      <c r="F336" s="172"/>
      <c r="G336" s="173"/>
      <c r="H336" s="169" t="s">
        <v>809</v>
      </c>
      <c r="I336" s="169"/>
      <c r="J336" s="182"/>
      <c r="K336" s="88">
        <v>7.4999999999999997E-2</v>
      </c>
      <c r="L336" s="182"/>
      <c r="M336" s="24" t="s">
        <v>926</v>
      </c>
      <c r="N336" s="3">
        <f>2*630</f>
        <v>1260</v>
      </c>
      <c r="O336" s="88">
        <v>18.420000000000002</v>
      </c>
      <c r="P336" s="96"/>
      <c r="Q336" s="96"/>
      <c r="R336" s="96">
        <f t="shared" si="37"/>
        <v>18.420000000000002</v>
      </c>
      <c r="S336" s="2">
        <f t="shared" ref="S336:S340" si="40">R336/(N336*0.92)</f>
        <v>1.5890269151138718E-2</v>
      </c>
    </row>
    <row r="337" spans="1:19" x14ac:dyDescent="0.25">
      <c r="A337" s="201"/>
      <c r="B337" s="182"/>
      <c r="C337" s="191"/>
      <c r="D337" s="182"/>
      <c r="E337" s="182"/>
      <c r="F337" s="172"/>
      <c r="G337" s="173"/>
      <c r="H337" s="170" t="s">
        <v>812</v>
      </c>
      <c r="I337" s="171"/>
      <c r="J337" s="182"/>
      <c r="K337" s="88"/>
      <c r="L337" s="182"/>
      <c r="M337" s="24" t="s">
        <v>927</v>
      </c>
      <c r="N337" s="91">
        <v>400</v>
      </c>
      <c r="O337" s="88">
        <v>142.12</v>
      </c>
      <c r="P337" s="96"/>
      <c r="Q337" s="96">
        <f>11+15</f>
        <v>26</v>
      </c>
      <c r="R337" s="96">
        <f t="shared" si="37"/>
        <v>168.12</v>
      </c>
      <c r="S337" s="2">
        <f t="shared" si="40"/>
        <v>0.45684782608695651</v>
      </c>
    </row>
    <row r="338" spans="1:19" x14ac:dyDescent="0.25">
      <c r="A338" s="201"/>
      <c r="B338" s="182"/>
      <c r="C338" s="191"/>
      <c r="D338" s="182"/>
      <c r="E338" s="182"/>
      <c r="F338" s="172"/>
      <c r="G338" s="173"/>
      <c r="H338" s="172"/>
      <c r="I338" s="173"/>
      <c r="J338" s="182"/>
      <c r="K338" s="88"/>
      <c r="L338" s="182"/>
      <c r="M338" s="24" t="s">
        <v>928</v>
      </c>
      <c r="N338" s="91">
        <v>250</v>
      </c>
      <c r="O338" s="88">
        <v>81.319999999999993</v>
      </c>
      <c r="P338" s="96"/>
      <c r="Q338" s="96">
        <f>15+15+15</f>
        <v>45</v>
      </c>
      <c r="R338" s="96">
        <f t="shared" si="37"/>
        <v>126.32</v>
      </c>
      <c r="S338" s="2">
        <f t="shared" si="40"/>
        <v>0.54921739130434777</v>
      </c>
    </row>
    <row r="339" spans="1:19" x14ac:dyDescent="0.25">
      <c r="A339" s="201"/>
      <c r="B339" s="182"/>
      <c r="C339" s="191"/>
      <c r="D339" s="182"/>
      <c r="E339" s="182"/>
      <c r="F339" s="172"/>
      <c r="G339" s="173"/>
      <c r="H339" s="172"/>
      <c r="I339" s="173"/>
      <c r="J339" s="182"/>
      <c r="K339" s="88"/>
      <c r="L339" s="182"/>
      <c r="M339" s="24" t="s">
        <v>929</v>
      </c>
      <c r="N339" s="91">
        <v>400</v>
      </c>
      <c r="O339" s="88">
        <v>50.54</v>
      </c>
      <c r="P339" s="96"/>
      <c r="Q339" s="96"/>
      <c r="R339" s="96">
        <f t="shared" si="37"/>
        <v>50.54</v>
      </c>
      <c r="S339" s="2">
        <f t="shared" si="40"/>
        <v>0.13733695652173913</v>
      </c>
    </row>
    <row r="340" spans="1:19" x14ac:dyDescent="0.25">
      <c r="A340" s="201"/>
      <c r="B340" s="182"/>
      <c r="C340" s="191"/>
      <c r="D340" s="182"/>
      <c r="E340" s="182"/>
      <c r="F340" s="172"/>
      <c r="G340" s="173"/>
      <c r="H340" s="172"/>
      <c r="I340" s="173"/>
      <c r="J340" s="182"/>
      <c r="K340" s="181">
        <v>0.95</v>
      </c>
      <c r="L340" s="182"/>
      <c r="M340" s="21" t="s">
        <v>930</v>
      </c>
      <c r="N340" s="3">
        <f>2*630</f>
        <v>1260</v>
      </c>
      <c r="O340" s="181">
        <v>53.76</v>
      </c>
      <c r="P340" s="181"/>
      <c r="Q340" s="181"/>
      <c r="R340" s="181">
        <f>O340+P340+Q340</f>
        <v>53.76</v>
      </c>
      <c r="S340" s="2">
        <f t="shared" si="40"/>
        <v>4.6376811594202892E-2</v>
      </c>
    </row>
    <row r="341" spans="1:19" hidden="1" x14ac:dyDescent="0.25">
      <c r="A341" s="201"/>
      <c r="B341" s="182"/>
      <c r="C341" s="191"/>
      <c r="D341" s="182"/>
      <c r="E341" s="182"/>
      <c r="F341" s="172"/>
      <c r="G341" s="173"/>
      <c r="H341" s="172"/>
      <c r="I341" s="173"/>
      <c r="J341" s="182"/>
      <c r="K341" s="182"/>
      <c r="L341" s="182"/>
      <c r="M341" s="21" t="s">
        <v>931</v>
      </c>
      <c r="N341" s="91" t="s">
        <v>265</v>
      </c>
      <c r="O341" s="182"/>
      <c r="P341" s="182"/>
      <c r="Q341" s="182"/>
      <c r="R341" s="182"/>
      <c r="S341" s="93"/>
    </row>
    <row r="342" spans="1:19" hidden="1" x14ac:dyDescent="0.25">
      <c r="A342" s="201"/>
      <c r="B342" s="182"/>
      <c r="C342" s="191"/>
      <c r="D342" s="182"/>
      <c r="E342" s="182"/>
      <c r="F342" s="172"/>
      <c r="G342" s="173"/>
      <c r="H342" s="172"/>
      <c r="I342" s="173"/>
      <c r="J342" s="182"/>
      <c r="K342" s="182"/>
      <c r="L342" s="182"/>
      <c r="M342" s="21" t="s">
        <v>932</v>
      </c>
      <c r="N342" s="91" t="s">
        <v>893</v>
      </c>
      <c r="O342" s="182"/>
      <c r="P342" s="182"/>
      <c r="Q342" s="182"/>
      <c r="R342" s="182"/>
      <c r="S342" s="93"/>
    </row>
    <row r="343" spans="1:19" hidden="1" x14ac:dyDescent="0.25">
      <c r="A343" s="201"/>
      <c r="B343" s="182"/>
      <c r="C343" s="191"/>
      <c r="D343" s="182"/>
      <c r="E343" s="182"/>
      <c r="F343" s="172"/>
      <c r="G343" s="173"/>
      <c r="H343" s="172"/>
      <c r="I343" s="173"/>
      <c r="J343" s="182"/>
      <c r="K343" s="182"/>
      <c r="L343" s="182"/>
      <c r="M343" s="21" t="s">
        <v>933</v>
      </c>
      <c r="N343" s="91" t="s">
        <v>896</v>
      </c>
      <c r="O343" s="182"/>
      <c r="P343" s="182"/>
      <c r="Q343" s="182"/>
      <c r="R343" s="182"/>
      <c r="S343" s="93"/>
    </row>
    <row r="344" spans="1:19" hidden="1" x14ac:dyDescent="0.25">
      <c r="A344" s="201"/>
      <c r="B344" s="182"/>
      <c r="C344" s="191"/>
      <c r="D344" s="182"/>
      <c r="E344" s="182"/>
      <c r="F344" s="172"/>
      <c r="G344" s="173"/>
      <c r="H344" s="172"/>
      <c r="I344" s="173"/>
      <c r="J344" s="182"/>
      <c r="K344" s="183"/>
      <c r="L344" s="182"/>
      <c r="M344" s="21" t="s">
        <v>934</v>
      </c>
      <c r="N344" s="91" t="s">
        <v>896</v>
      </c>
      <c r="O344" s="183"/>
      <c r="P344" s="183"/>
      <c r="Q344" s="183"/>
      <c r="R344" s="183"/>
      <c r="S344" s="93"/>
    </row>
    <row r="345" spans="1:19" x14ac:dyDescent="0.25">
      <c r="A345" s="202"/>
      <c r="B345" s="182"/>
      <c r="C345" s="191"/>
      <c r="D345" s="182"/>
      <c r="E345" s="182"/>
      <c r="F345" s="174"/>
      <c r="G345" s="175"/>
      <c r="H345" s="172"/>
      <c r="I345" s="173"/>
      <c r="J345" s="182"/>
      <c r="K345" s="88"/>
      <c r="L345" s="183"/>
      <c r="M345" s="45" t="s">
        <v>935</v>
      </c>
      <c r="N345" s="91">
        <v>25</v>
      </c>
      <c r="O345" s="88">
        <v>2.2799999999999998</v>
      </c>
      <c r="P345" s="96"/>
      <c r="Q345" s="96"/>
      <c r="R345" s="96">
        <f t="shared" si="37"/>
        <v>2.2799999999999998</v>
      </c>
      <c r="S345" s="2">
        <f t="shared" ref="S345:S408" si="41">R345/(N345*0.92)</f>
        <v>9.913043478260869E-2</v>
      </c>
    </row>
    <row r="346" spans="1:19" x14ac:dyDescent="0.25">
      <c r="A346" s="203">
        <f>A325+1</f>
        <v>9</v>
      </c>
      <c r="B346" s="182"/>
      <c r="C346" s="191"/>
      <c r="D346" s="182"/>
      <c r="E346" s="182"/>
      <c r="F346" s="170" t="s">
        <v>45</v>
      </c>
      <c r="G346" s="171"/>
      <c r="H346" s="172"/>
      <c r="I346" s="173"/>
      <c r="J346" s="182"/>
      <c r="K346" s="88"/>
      <c r="L346" s="181">
        <v>0.70199999999999996</v>
      </c>
      <c r="M346" s="34" t="s">
        <v>936</v>
      </c>
      <c r="N346" s="3">
        <f t="shared" ref="N346:N347" si="42">2*400</f>
        <v>800</v>
      </c>
      <c r="O346" s="88">
        <v>89.01</v>
      </c>
      <c r="P346" s="96"/>
      <c r="Q346" s="96"/>
      <c r="R346" s="96">
        <f t="shared" si="37"/>
        <v>89.01</v>
      </c>
      <c r="S346" s="2">
        <f t="shared" si="41"/>
        <v>0.1209375</v>
      </c>
    </row>
    <row r="347" spans="1:19" ht="14.25" customHeight="1" x14ac:dyDescent="0.25">
      <c r="A347" s="201"/>
      <c r="B347" s="182"/>
      <c r="C347" s="191"/>
      <c r="D347" s="182"/>
      <c r="E347" s="182"/>
      <c r="F347" s="172"/>
      <c r="G347" s="173"/>
      <c r="H347" s="172"/>
      <c r="I347" s="173"/>
      <c r="J347" s="182"/>
      <c r="K347" s="88"/>
      <c r="L347" s="182"/>
      <c r="M347" s="34" t="s">
        <v>937</v>
      </c>
      <c r="N347" s="3">
        <f t="shared" si="42"/>
        <v>800</v>
      </c>
      <c r="O347" s="88">
        <v>182.02</v>
      </c>
      <c r="P347" s="96"/>
      <c r="Q347" s="96"/>
      <c r="R347" s="96">
        <f t="shared" si="37"/>
        <v>182.02</v>
      </c>
      <c r="S347" s="2">
        <f t="shared" si="41"/>
        <v>0.24730978260869566</v>
      </c>
    </row>
    <row r="348" spans="1:19" x14ac:dyDescent="0.25">
      <c r="A348" s="201"/>
      <c r="B348" s="182"/>
      <c r="C348" s="191"/>
      <c r="D348" s="182"/>
      <c r="E348" s="182"/>
      <c r="F348" s="172"/>
      <c r="G348" s="173"/>
      <c r="H348" s="172"/>
      <c r="I348" s="173"/>
      <c r="J348" s="182"/>
      <c r="K348" s="88"/>
      <c r="L348" s="182"/>
      <c r="M348" s="34" t="s">
        <v>938</v>
      </c>
      <c r="N348" s="91">
        <v>250</v>
      </c>
      <c r="O348" s="88">
        <v>114.38</v>
      </c>
      <c r="P348" s="96"/>
      <c r="Q348" s="96">
        <f>110+10</f>
        <v>120</v>
      </c>
      <c r="R348" s="96">
        <f t="shared" si="37"/>
        <v>234.38</v>
      </c>
      <c r="S348" s="2">
        <f t="shared" si="41"/>
        <v>1.0190434782608695</v>
      </c>
    </row>
    <row r="349" spans="1:19" x14ac:dyDescent="0.25">
      <c r="A349" s="201"/>
      <c r="B349" s="182"/>
      <c r="C349" s="191"/>
      <c r="D349" s="182"/>
      <c r="E349" s="182"/>
      <c r="F349" s="172"/>
      <c r="G349" s="173"/>
      <c r="H349" s="172"/>
      <c r="I349" s="173"/>
      <c r="J349" s="182"/>
      <c r="K349" s="88"/>
      <c r="L349" s="182"/>
      <c r="M349" s="25" t="s">
        <v>939</v>
      </c>
      <c r="N349" s="160">
        <f>2*1000</f>
        <v>2000</v>
      </c>
      <c r="O349" s="88">
        <v>157.26</v>
      </c>
      <c r="P349" s="96"/>
      <c r="Q349" s="96"/>
      <c r="R349" s="96">
        <f t="shared" si="37"/>
        <v>157.26</v>
      </c>
      <c r="S349" s="2">
        <f t="shared" si="41"/>
        <v>8.5467391304347815E-2</v>
      </c>
    </row>
    <row r="350" spans="1:19" x14ac:dyDescent="0.25">
      <c r="A350" s="201"/>
      <c r="B350" s="182"/>
      <c r="C350" s="191"/>
      <c r="D350" s="182"/>
      <c r="E350" s="182"/>
      <c r="F350" s="172"/>
      <c r="G350" s="173"/>
      <c r="H350" s="172"/>
      <c r="I350" s="173"/>
      <c r="J350" s="182"/>
      <c r="K350" s="88"/>
      <c r="L350" s="182"/>
      <c r="M350" s="34" t="s">
        <v>940</v>
      </c>
      <c r="N350" s="3">
        <f>2*400</f>
        <v>800</v>
      </c>
      <c r="O350" s="88">
        <v>11.02</v>
      </c>
      <c r="P350" s="96"/>
      <c r="Q350" s="96"/>
      <c r="R350" s="96">
        <f t="shared" si="37"/>
        <v>11.02</v>
      </c>
      <c r="S350" s="2">
        <f t="shared" si="41"/>
        <v>1.4972826086956522E-2</v>
      </c>
    </row>
    <row r="351" spans="1:19" x14ac:dyDescent="0.25">
      <c r="A351" s="201"/>
      <c r="B351" s="182"/>
      <c r="C351" s="191"/>
      <c r="D351" s="182"/>
      <c r="E351" s="182"/>
      <c r="F351" s="172"/>
      <c r="G351" s="173"/>
      <c r="H351" s="172"/>
      <c r="I351" s="173"/>
      <c r="J351" s="182"/>
      <c r="K351" s="88"/>
      <c r="L351" s="182"/>
      <c r="M351" s="25" t="s">
        <v>941</v>
      </c>
      <c r="N351" s="91">
        <v>250</v>
      </c>
      <c r="O351" s="88">
        <v>41.42</v>
      </c>
      <c r="P351" s="96"/>
      <c r="Q351" s="96">
        <f>15</f>
        <v>15</v>
      </c>
      <c r="R351" s="96">
        <f t="shared" si="37"/>
        <v>56.42</v>
      </c>
      <c r="S351" s="2">
        <f t="shared" si="41"/>
        <v>0.24530434782608695</v>
      </c>
    </row>
    <row r="352" spans="1:19" x14ac:dyDescent="0.25">
      <c r="A352" s="201"/>
      <c r="B352" s="182"/>
      <c r="C352" s="191"/>
      <c r="D352" s="182"/>
      <c r="E352" s="182"/>
      <c r="F352" s="172"/>
      <c r="G352" s="173"/>
      <c r="H352" s="172"/>
      <c r="I352" s="173"/>
      <c r="J352" s="182"/>
      <c r="K352" s="88"/>
      <c r="L352" s="182"/>
      <c r="M352" s="26" t="s">
        <v>942</v>
      </c>
      <c r="N352" s="91">
        <v>630</v>
      </c>
      <c r="O352" s="88">
        <v>175.18</v>
      </c>
      <c r="P352" s="96"/>
      <c r="Q352" s="96"/>
      <c r="R352" s="96">
        <f t="shared" si="37"/>
        <v>175.18</v>
      </c>
      <c r="S352" s="2">
        <f t="shared" si="41"/>
        <v>0.30224292615596965</v>
      </c>
    </row>
    <row r="353" spans="1:19" x14ac:dyDescent="0.25">
      <c r="A353" s="201"/>
      <c r="B353" s="182"/>
      <c r="C353" s="191"/>
      <c r="D353" s="182"/>
      <c r="E353" s="182"/>
      <c r="F353" s="172"/>
      <c r="G353" s="173"/>
      <c r="H353" s="172"/>
      <c r="I353" s="173"/>
      <c r="J353" s="182"/>
      <c r="K353" s="88"/>
      <c r="L353" s="182"/>
      <c r="M353" s="26" t="s">
        <v>943</v>
      </c>
      <c r="N353" s="3">
        <f>2*630</f>
        <v>1260</v>
      </c>
      <c r="O353" s="88">
        <v>131.86000000000001</v>
      </c>
      <c r="P353" s="96"/>
      <c r="Q353" s="96">
        <f>20</f>
        <v>20</v>
      </c>
      <c r="R353" s="96">
        <f t="shared" ref="R353:R416" si="43">Q353+P353+O353</f>
        <v>151.86000000000001</v>
      </c>
      <c r="S353" s="2">
        <f t="shared" si="41"/>
        <v>0.13100414078674949</v>
      </c>
    </row>
    <row r="354" spans="1:19" x14ac:dyDescent="0.25">
      <c r="A354" s="201"/>
      <c r="B354" s="182"/>
      <c r="C354" s="191"/>
      <c r="D354" s="182"/>
      <c r="E354" s="182"/>
      <c r="F354" s="172"/>
      <c r="G354" s="173"/>
      <c r="H354" s="172"/>
      <c r="I354" s="173"/>
      <c r="J354" s="182"/>
      <c r="K354" s="88"/>
      <c r="L354" s="182"/>
      <c r="M354" s="34" t="s">
        <v>944</v>
      </c>
      <c r="N354" s="3">
        <f>2*400</f>
        <v>800</v>
      </c>
      <c r="O354" s="88">
        <v>115.14</v>
      </c>
      <c r="P354" s="96"/>
      <c r="Q354" s="96"/>
      <c r="R354" s="96">
        <f t="shared" si="43"/>
        <v>115.14</v>
      </c>
      <c r="S354" s="2">
        <f t="shared" si="41"/>
        <v>0.15644021739130434</v>
      </c>
    </row>
    <row r="355" spans="1:19" x14ac:dyDescent="0.25">
      <c r="A355" s="201"/>
      <c r="B355" s="182"/>
      <c r="C355" s="191"/>
      <c r="D355" s="182"/>
      <c r="E355" s="182"/>
      <c r="F355" s="172"/>
      <c r="G355" s="173"/>
      <c r="H355" s="172"/>
      <c r="I355" s="173"/>
      <c r="J355" s="182"/>
      <c r="K355" s="88"/>
      <c r="L355" s="182"/>
      <c r="M355" s="25" t="s">
        <v>945</v>
      </c>
      <c r="N355" s="91">
        <v>400</v>
      </c>
      <c r="O355" s="88">
        <v>114</v>
      </c>
      <c r="P355" s="96"/>
      <c r="Q355" s="96"/>
      <c r="R355" s="96">
        <f t="shared" si="43"/>
        <v>114</v>
      </c>
      <c r="S355" s="2">
        <f t="shared" si="41"/>
        <v>0.30978260869565216</v>
      </c>
    </row>
    <row r="356" spans="1:19" x14ac:dyDescent="0.25">
      <c r="A356" s="201"/>
      <c r="B356" s="182"/>
      <c r="C356" s="191"/>
      <c r="D356" s="182"/>
      <c r="E356" s="182"/>
      <c r="F356" s="172"/>
      <c r="G356" s="173"/>
      <c r="H356" s="172"/>
      <c r="I356" s="173"/>
      <c r="J356" s="182"/>
      <c r="K356" s="88"/>
      <c r="L356" s="182"/>
      <c r="M356" s="34" t="s">
        <v>946</v>
      </c>
      <c r="N356" s="3">
        <f t="shared" ref="N356:N357" si="44">2*400</f>
        <v>800</v>
      </c>
      <c r="O356" s="88">
        <v>132.24</v>
      </c>
      <c r="P356" s="96"/>
      <c r="Q356" s="96">
        <f>60</f>
        <v>60</v>
      </c>
      <c r="R356" s="96">
        <f t="shared" si="43"/>
        <v>192.24</v>
      </c>
      <c r="S356" s="2">
        <f t="shared" si="41"/>
        <v>0.26119565217391305</v>
      </c>
    </row>
    <row r="357" spans="1:19" x14ac:dyDescent="0.25">
      <c r="A357" s="201"/>
      <c r="B357" s="182"/>
      <c r="C357" s="191"/>
      <c r="D357" s="182"/>
      <c r="E357" s="182"/>
      <c r="F357" s="172"/>
      <c r="G357" s="173"/>
      <c r="H357" s="172"/>
      <c r="I357" s="173"/>
      <c r="J357" s="182"/>
      <c r="K357" s="88"/>
      <c r="L357" s="182"/>
      <c r="M357" s="25" t="s">
        <v>947</v>
      </c>
      <c r="N357" s="3">
        <f t="shared" si="44"/>
        <v>800</v>
      </c>
      <c r="O357" s="88">
        <v>182.02</v>
      </c>
      <c r="P357" s="96"/>
      <c r="Q357" s="96"/>
      <c r="R357" s="96">
        <f t="shared" si="43"/>
        <v>182.02</v>
      </c>
      <c r="S357" s="2">
        <f t="shared" si="41"/>
        <v>0.24730978260869566</v>
      </c>
    </row>
    <row r="358" spans="1:19" x14ac:dyDescent="0.25">
      <c r="A358" s="201"/>
      <c r="B358" s="182"/>
      <c r="C358" s="191"/>
      <c r="D358" s="182"/>
      <c r="E358" s="182"/>
      <c r="F358" s="172"/>
      <c r="G358" s="173"/>
      <c r="H358" s="172"/>
      <c r="I358" s="173"/>
      <c r="J358" s="182"/>
      <c r="K358" s="88"/>
      <c r="L358" s="182"/>
      <c r="M358" s="29" t="s">
        <v>948</v>
      </c>
      <c r="N358" s="3">
        <f>2*630</f>
        <v>1260</v>
      </c>
      <c r="O358" s="88">
        <v>112.1</v>
      </c>
      <c r="P358" s="96"/>
      <c r="Q358" s="96"/>
      <c r="R358" s="96">
        <f t="shared" si="43"/>
        <v>112.1</v>
      </c>
      <c r="S358" s="2">
        <f t="shared" si="41"/>
        <v>9.6704623878536913E-2</v>
      </c>
    </row>
    <row r="359" spans="1:19" x14ac:dyDescent="0.25">
      <c r="A359" s="201"/>
      <c r="B359" s="182"/>
      <c r="C359" s="191"/>
      <c r="D359" s="182"/>
      <c r="E359" s="182"/>
      <c r="F359" s="172"/>
      <c r="G359" s="173"/>
      <c r="H359" s="172"/>
      <c r="I359" s="173"/>
      <c r="J359" s="182"/>
      <c r="K359" s="88"/>
      <c r="L359" s="182"/>
      <c r="M359" s="29" t="s">
        <v>949</v>
      </c>
      <c r="N359" s="3">
        <f>2*400</f>
        <v>800</v>
      </c>
      <c r="O359" s="88">
        <v>124.64</v>
      </c>
      <c r="P359" s="96"/>
      <c r="Q359" s="96"/>
      <c r="R359" s="96">
        <f t="shared" si="43"/>
        <v>124.64</v>
      </c>
      <c r="S359" s="2">
        <f t="shared" si="41"/>
        <v>0.16934782608695653</v>
      </c>
    </row>
    <row r="360" spans="1:19" x14ac:dyDescent="0.25">
      <c r="A360" s="201"/>
      <c r="B360" s="182"/>
      <c r="C360" s="191"/>
      <c r="D360" s="182"/>
      <c r="E360" s="182"/>
      <c r="F360" s="172"/>
      <c r="G360" s="173"/>
      <c r="H360" s="172"/>
      <c r="I360" s="173"/>
      <c r="J360" s="182"/>
      <c r="K360" s="88"/>
      <c r="L360" s="182"/>
      <c r="M360" s="29" t="s">
        <v>950</v>
      </c>
      <c r="N360" s="3">
        <f t="shared" ref="N360:N361" si="45">2*630</f>
        <v>1260</v>
      </c>
      <c r="O360" s="88">
        <v>106.4</v>
      </c>
      <c r="P360" s="96"/>
      <c r="Q360" s="96"/>
      <c r="R360" s="96">
        <f t="shared" si="43"/>
        <v>106.4</v>
      </c>
      <c r="S360" s="2">
        <f t="shared" si="41"/>
        <v>9.1787439613526575E-2</v>
      </c>
    </row>
    <row r="361" spans="1:19" x14ac:dyDescent="0.25">
      <c r="A361" s="201"/>
      <c r="B361" s="182"/>
      <c r="C361" s="191"/>
      <c r="D361" s="182"/>
      <c r="E361" s="182"/>
      <c r="F361" s="172"/>
      <c r="G361" s="173"/>
      <c r="H361" s="172"/>
      <c r="I361" s="173"/>
      <c r="J361" s="182"/>
      <c r="K361" s="88"/>
      <c r="L361" s="182"/>
      <c r="M361" s="29" t="s">
        <v>951</v>
      </c>
      <c r="N361" s="3">
        <f t="shared" si="45"/>
        <v>1260</v>
      </c>
      <c r="O361" s="88">
        <v>106.02</v>
      </c>
      <c r="P361" s="96"/>
      <c r="Q361" s="96"/>
      <c r="R361" s="96">
        <f t="shared" si="43"/>
        <v>106.02</v>
      </c>
      <c r="S361" s="2">
        <f t="shared" si="41"/>
        <v>9.1459627329192536E-2</v>
      </c>
    </row>
    <row r="362" spans="1:19" x14ac:dyDescent="0.25">
      <c r="A362" s="201"/>
      <c r="B362" s="182"/>
      <c r="C362" s="191"/>
      <c r="D362" s="182"/>
      <c r="E362" s="182"/>
      <c r="F362" s="172"/>
      <c r="G362" s="173"/>
      <c r="H362" s="172"/>
      <c r="I362" s="173"/>
      <c r="J362" s="182"/>
      <c r="K362" s="88"/>
      <c r="L362" s="182"/>
      <c r="M362" s="27" t="s">
        <v>952</v>
      </c>
      <c r="N362" s="3">
        <f>2*400</f>
        <v>800</v>
      </c>
      <c r="O362" s="88">
        <v>33.06</v>
      </c>
      <c r="P362" s="96"/>
      <c r="Q362" s="96"/>
      <c r="R362" s="96">
        <f t="shared" si="43"/>
        <v>33.06</v>
      </c>
      <c r="S362" s="2">
        <f t="shared" si="41"/>
        <v>4.4918478260869567E-2</v>
      </c>
    </row>
    <row r="363" spans="1:19" x14ac:dyDescent="0.25">
      <c r="A363" s="201"/>
      <c r="B363" s="182"/>
      <c r="C363" s="191"/>
      <c r="D363" s="182"/>
      <c r="E363" s="182"/>
      <c r="F363" s="172"/>
      <c r="G363" s="173"/>
      <c r="H363" s="172"/>
      <c r="I363" s="173"/>
      <c r="J363" s="182"/>
      <c r="K363" s="88"/>
      <c r="L363" s="182"/>
      <c r="M363" s="88" t="s">
        <v>953</v>
      </c>
      <c r="N363" s="91">
        <v>400</v>
      </c>
      <c r="O363" s="88">
        <v>72.2</v>
      </c>
      <c r="P363" s="96"/>
      <c r="Q363" s="96"/>
      <c r="R363" s="96">
        <f t="shared" si="43"/>
        <v>72.2</v>
      </c>
      <c r="S363" s="2">
        <f t="shared" si="41"/>
        <v>0.19619565217391305</v>
      </c>
    </row>
    <row r="364" spans="1:19" x14ac:dyDescent="0.25">
      <c r="A364" s="201"/>
      <c r="B364" s="182"/>
      <c r="C364" s="191"/>
      <c r="D364" s="182"/>
      <c r="E364" s="182"/>
      <c r="F364" s="172"/>
      <c r="G364" s="173"/>
      <c r="H364" s="172"/>
      <c r="I364" s="173"/>
      <c r="J364" s="182"/>
      <c r="K364" s="88"/>
      <c r="L364" s="182"/>
      <c r="M364" s="88" t="s">
        <v>954</v>
      </c>
      <c r="N364" s="91">
        <v>400</v>
      </c>
      <c r="O364" s="88">
        <v>190</v>
      </c>
      <c r="P364" s="96"/>
      <c r="Q364" s="96">
        <f>10+5+15+9+1+7+3+15+10+1+15+3+10</f>
        <v>104</v>
      </c>
      <c r="R364" s="96">
        <f t="shared" si="43"/>
        <v>294</v>
      </c>
      <c r="S364" s="2">
        <f t="shared" si="41"/>
        <v>0.79891304347826086</v>
      </c>
    </row>
    <row r="365" spans="1:19" x14ac:dyDescent="0.25">
      <c r="A365" s="201"/>
      <c r="B365" s="182"/>
      <c r="C365" s="191"/>
      <c r="D365" s="182"/>
      <c r="E365" s="182"/>
      <c r="F365" s="172"/>
      <c r="G365" s="173"/>
      <c r="H365" s="172"/>
      <c r="I365" s="173"/>
      <c r="J365" s="182"/>
      <c r="K365" s="88"/>
      <c r="L365" s="182"/>
      <c r="M365" s="88" t="s">
        <v>955</v>
      </c>
      <c r="N365" s="91">
        <v>250</v>
      </c>
      <c r="O365" s="88">
        <v>16.72</v>
      </c>
      <c r="P365" s="96"/>
      <c r="Q365" s="96"/>
      <c r="R365" s="96">
        <f t="shared" si="43"/>
        <v>16.72</v>
      </c>
      <c r="S365" s="2">
        <f t="shared" si="41"/>
        <v>7.2695652173913036E-2</v>
      </c>
    </row>
    <row r="366" spans="1:19" x14ac:dyDescent="0.25">
      <c r="A366" s="201"/>
      <c r="B366" s="182"/>
      <c r="C366" s="191"/>
      <c r="D366" s="182"/>
      <c r="E366" s="182"/>
      <c r="F366" s="172"/>
      <c r="G366" s="173"/>
      <c r="H366" s="172"/>
      <c r="I366" s="173"/>
      <c r="J366" s="182"/>
      <c r="K366" s="88"/>
      <c r="L366" s="182"/>
      <c r="M366" s="88" t="s">
        <v>956</v>
      </c>
      <c r="N366" s="91">
        <v>400</v>
      </c>
      <c r="O366" s="88">
        <v>106.02</v>
      </c>
      <c r="P366" s="96"/>
      <c r="Q366" s="96"/>
      <c r="R366" s="96">
        <f t="shared" si="43"/>
        <v>106.02</v>
      </c>
      <c r="S366" s="2">
        <f t="shared" si="41"/>
        <v>0.2880978260869565</v>
      </c>
    </row>
    <row r="367" spans="1:19" x14ac:dyDescent="0.25">
      <c r="A367" s="201"/>
      <c r="B367" s="182"/>
      <c r="C367" s="191"/>
      <c r="D367" s="182"/>
      <c r="E367" s="182"/>
      <c r="F367" s="172"/>
      <c r="G367" s="173"/>
      <c r="H367" s="172"/>
      <c r="I367" s="173"/>
      <c r="J367" s="182"/>
      <c r="K367" s="88">
        <v>7.4999999999999997E-2</v>
      </c>
      <c r="L367" s="182"/>
      <c r="M367" s="44" t="s">
        <v>957</v>
      </c>
      <c r="N367" s="3">
        <f>2*630</f>
        <v>1260</v>
      </c>
      <c r="O367" s="88">
        <v>6.12</v>
      </c>
      <c r="P367" s="96"/>
      <c r="Q367" s="96"/>
      <c r="R367" s="96">
        <f t="shared" si="43"/>
        <v>6.12</v>
      </c>
      <c r="S367" s="2">
        <f t="shared" si="41"/>
        <v>5.2795031055900624E-3</v>
      </c>
    </row>
    <row r="368" spans="1:19" x14ac:dyDescent="0.25">
      <c r="A368" s="201"/>
      <c r="B368" s="182"/>
      <c r="C368" s="191"/>
      <c r="D368" s="182"/>
      <c r="E368" s="182"/>
      <c r="F368" s="172"/>
      <c r="G368" s="173"/>
      <c r="H368" s="172"/>
      <c r="I368" s="173"/>
      <c r="J368" s="182"/>
      <c r="K368" s="88"/>
      <c r="L368" s="182"/>
      <c r="M368" s="44" t="s">
        <v>958</v>
      </c>
      <c r="N368" s="91">
        <v>400</v>
      </c>
      <c r="O368" s="88">
        <v>213.56</v>
      </c>
      <c r="P368" s="96"/>
      <c r="Q368" s="96"/>
      <c r="R368" s="96">
        <f t="shared" si="43"/>
        <v>213.56</v>
      </c>
      <c r="S368" s="2">
        <f t="shared" si="41"/>
        <v>0.58032608695652177</v>
      </c>
    </row>
    <row r="369" spans="1:19" x14ac:dyDescent="0.25">
      <c r="A369" s="201"/>
      <c r="B369" s="182"/>
      <c r="C369" s="191"/>
      <c r="D369" s="182"/>
      <c r="E369" s="182"/>
      <c r="F369" s="172"/>
      <c r="G369" s="173"/>
      <c r="H369" s="172"/>
      <c r="I369" s="173"/>
      <c r="J369" s="182"/>
      <c r="K369" s="88"/>
      <c r="L369" s="182"/>
      <c r="M369" s="88" t="s">
        <v>959</v>
      </c>
      <c r="N369" s="3">
        <f>2*250</f>
        <v>500</v>
      </c>
      <c r="O369" s="88">
        <v>1.9</v>
      </c>
      <c r="P369" s="96"/>
      <c r="Q369" s="96"/>
      <c r="R369" s="96">
        <f t="shared" si="43"/>
        <v>1.9</v>
      </c>
      <c r="S369" s="2">
        <f t="shared" si="41"/>
        <v>4.1304347826086954E-3</v>
      </c>
    </row>
    <row r="370" spans="1:19" x14ac:dyDescent="0.25">
      <c r="A370" s="201"/>
      <c r="B370" s="182"/>
      <c r="C370" s="191"/>
      <c r="D370" s="182"/>
      <c r="E370" s="182"/>
      <c r="F370" s="172"/>
      <c r="G370" s="173"/>
      <c r="H370" s="172"/>
      <c r="I370" s="173"/>
      <c r="J370" s="182"/>
      <c r="K370" s="88"/>
      <c r="L370" s="182"/>
      <c r="M370" s="88" t="s">
        <v>960</v>
      </c>
      <c r="N370" s="91">
        <v>250</v>
      </c>
      <c r="O370" s="88">
        <v>52.44</v>
      </c>
      <c r="P370" s="96"/>
      <c r="Q370" s="96">
        <f>15+11+3+11+6+5+6+3+1+4+15</f>
        <v>80</v>
      </c>
      <c r="R370" s="96">
        <f t="shared" si="43"/>
        <v>132.44</v>
      </c>
      <c r="S370" s="2">
        <f t="shared" si="41"/>
        <v>0.57582608695652171</v>
      </c>
    </row>
    <row r="371" spans="1:19" x14ac:dyDescent="0.25">
      <c r="A371" s="201"/>
      <c r="B371" s="182"/>
      <c r="C371" s="191"/>
      <c r="D371" s="182"/>
      <c r="E371" s="182"/>
      <c r="F371" s="172"/>
      <c r="G371" s="173"/>
      <c r="H371" s="172"/>
      <c r="I371" s="173"/>
      <c r="J371" s="182"/>
      <c r="K371" s="88">
        <v>0.05</v>
      </c>
      <c r="L371" s="182"/>
      <c r="M371" s="88" t="s">
        <v>961</v>
      </c>
      <c r="N371" s="91">
        <v>63</v>
      </c>
      <c r="O371" s="88">
        <v>1.2</v>
      </c>
      <c r="P371" s="96"/>
      <c r="Q371" s="96"/>
      <c r="R371" s="96">
        <f t="shared" si="43"/>
        <v>1.2</v>
      </c>
      <c r="S371" s="2">
        <f t="shared" si="41"/>
        <v>2.0703933747412008E-2</v>
      </c>
    </row>
    <row r="372" spans="1:19" x14ac:dyDescent="0.25">
      <c r="A372" s="201"/>
      <c r="B372" s="182"/>
      <c r="C372" s="191"/>
      <c r="D372" s="182"/>
      <c r="E372" s="182"/>
      <c r="F372" s="172"/>
      <c r="G372" s="173"/>
      <c r="H372" s="172"/>
      <c r="I372" s="173"/>
      <c r="J372" s="182"/>
      <c r="K372" s="88">
        <v>0.1</v>
      </c>
      <c r="L372" s="182"/>
      <c r="M372" s="88" t="s">
        <v>962</v>
      </c>
      <c r="N372" s="91">
        <v>250</v>
      </c>
      <c r="O372" s="88">
        <v>3.9</v>
      </c>
      <c r="P372" s="96"/>
      <c r="Q372" s="96"/>
      <c r="R372" s="96">
        <f t="shared" si="43"/>
        <v>3.9</v>
      </c>
      <c r="S372" s="2">
        <f t="shared" si="41"/>
        <v>1.6956521739130436E-2</v>
      </c>
    </row>
    <row r="373" spans="1:19" x14ac:dyDescent="0.25">
      <c r="A373" s="201"/>
      <c r="B373" s="182"/>
      <c r="C373" s="191"/>
      <c r="D373" s="182"/>
      <c r="E373" s="182"/>
      <c r="F373" s="172"/>
      <c r="G373" s="173"/>
      <c r="H373" s="172"/>
      <c r="I373" s="173"/>
      <c r="J373" s="182"/>
      <c r="K373" s="88">
        <v>0.02</v>
      </c>
      <c r="L373" s="182"/>
      <c r="M373" s="88" t="s">
        <v>963</v>
      </c>
      <c r="N373" s="91">
        <v>250</v>
      </c>
      <c r="O373" s="88">
        <v>30.74</v>
      </c>
      <c r="P373" s="96"/>
      <c r="Q373" s="96"/>
      <c r="R373" s="96">
        <f t="shared" si="43"/>
        <v>30.74</v>
      </c>
      <c r="S373" s="2">
        <f t="shared" si="41"/>
        <v>0.13365217391304346</v>
      </c>
    </row>
    <row r="374" spans="1:19" x14ac:dyDescent="0.25">
      <c r="A374" s="201"/>
      <c r="B374" s="182"/>
      <c r="C374" s="191"/>
      <c r="D374" s="182"/>
      <c r="E374" s="182"/>
      <c r="F374" s="172"/>
      <c r="G374" s="173"/>
      <c r="H374" s="172"/>
      <c r="I374" s="173"/>
      <c r="J374" s="182"/>
      <c r="K374" s="88"/>
      <c r="L374" s="182"/>
      <c r="M374" s="44" t="s">
        <v>964</v>
      </c>
      <c r="N374" s="91">
        <v>250</v>
      </c>
      <c r="O374" s="88">
        <v>217.74</v>
      </c>
      <c r="P374" s="96"/>
      <c r="Q374" s="96">
        <f>15+11</f>
        <v>26</v>
      </c>
      <c r="R374" s="96">
        <f t="shared" si="43"/>
        <v>243.74</v>
      </c>
      <c r="S374" s="2">
        <f t="shared" si="41"/>
        <v>1.0597391304347827</v>
      </c>
    </row>
    <row r="375" spans="1:19" x14ac:dyDescent="0.25">
      <c r="A375" s="202"/>
      <c r="B375" s="182"/>
      <c r="C375" s="191"/>
      <c r="D375" s="182"/>
      <c r="E375" s="182"/>
      <c r="F375" s="172"/>
      <c r="G375" s="173"/>
      <c r="H375" s="172"/>
      <c r="I375" s="173"/>
      <c r="J375" s="182"/>
      <c r="K375" s="88"/>
      <c r="L375" s="183"/>
      <c r="M375" s="88" t="s">
        <v>965</v>
      </c>
      <c r="N375" s="91">
        <v>400</v>
      </c>
      <c r="O375" s="88">
        <v>172.54</v>
      </c>
      <c r="P375" s="96"/>
      <c r="Q375" s="96"/>
      <c r="R375" s="96">
        <f t="shared" si="43"/>
        <v>172.54</v>
      </c>
      <c r="S375" s="2">
        <f t="shared" si="41"/>
        <v>0.46885869565217392</v>
      </c>
    </row>
    <row r="376" spans="1:19" x14ac:dyDescent="0.25">
      <c r="A376" s="203">
        <f>A346+1</f>
        <v>10</v>
      </c>
      <c r="B376" s="182"/>
      <c r="C376" s="191"/>
      <c r="D376" s="182"/>
      <c r="E376" s="182"/>
      <c r="F376" s="170" t="s">
        <v>46</v>
      </c>
      <c r="G376" s="171"/>
      <c r="H376" s="172"/>
      <c r="I376" s="173"/>
      <c r="J376" s="182"/>
      <c r="K376" s="88"/>
      <c r="L376" s="181">
        <v>0.56399999999999995</v>
      </c>
      <c r="M376" s="21" t="s">
        <v>966</v>
      </c>
      <c r="N376" s="91">
        <v>630</v>
      </c>
      <c r="O376" s="88">
        <v>28.12</v>
      </c>
      <c r="P376" s="96"/>
      <c r="Q376" s="96">
        <f>15+10+15</f>
        <v>40</v>
      </c>
      <c r="R376" s="96">
        <f t="shared" si="43"/>
        <v>68.12</v>
      </c>
      <c r="S376" s="2">
        <f t="shared" si="41"/>
        <v>0.11752933057280884</v>
      </c>
    </row>
    <row r="377" spans="1:19" x14ac:dyDescent="0.25">
      <c r="A377" s="201"/>
      <c r="B377" s="182"/>
      <c r="C377" s="191"/>
      <c r="D377" s="182"/>
      <c r="E377" s="182"/>
      <c r="F377" s="172"/>
      <c r="G377" s="173"/>
      <c r="H377" s="172"/>
      <c r="I377" s="173"/>
      <c r="J377" s="182"/>
      <c r="K377" s="88"/>
      <c r="L377" s="182"/>
      <c r="M377" s="21" t="s">
        <v>967</v>
      </c>
      <c r="N377" s="91">
        <v>160</v>
      </c>
      <c r="O377" s="88">
        <v>53.58</v>
      </c>
      <c r="P377" s="96"/>
      <c r="Q377" s="96">
        <f>90</f>
        <v>90</v>
      </c>
      <c r="R377" s="96">
        <f t="shared" si="43"/>
        <v>143.57999999999998</v>
      </c>
      <c r="S377" s="2">
        <f t="shared" si="41"/>
        <v>0.97540760869565191</v>
      </c>
    </row>
    <row r="378" spans="1:19" x14ac:dyDescent="0.25">
      <c r="A378" s="201"/>
      <c r="B378" s="182"/>
      <c r="C378" s="191"/>
      <c r="D378" s="182"/>
      <c r="E378" s="182"/>
      <c r="F378" s="172"/>
      <c r="G378" s="173"/>
      <c r="H378" s="172"/>
      <c r="I378" s="173"/>
      <c r="J378" s="182"/>
      <c r="K378" s="88"/>
      <c r="L378" s="182"/>
      <c r="M378" s="45" t="s">
        <v>968</v>
      </c>
      <c r="N378" s="91">
        <v>400</v>
      </c>
      <c r="O378" s="88">
        <v>120.46</v>
      </c>
      <c r="P378" s="96"/>
      <c r="Q378" s="96">
        <f>11</f>
        <v>11</v>
      </c>
      <c r="R378" s="96">
        <f t="shared" si="43"/>
        <v>131.45999999999998</v>
      </c>
      <c r="S378" s="2">
        <f t="shared" si="41"/>
        <v>0.35722826086956516</v>
      </c>
    </row>
    <row r="379" spans="1:19" x14ac:dyDescent="0.25">
      <c r="A379" s="201"/>
      <c r="B379" s="182"/>
      <c r="C379" s="191"/>
      <c r="D379" s="182"/>
      <c r="E379" s="182"/>
      <c r="F379" s="172"/>
      <c r="G379" s="173"/>
      <c r="H379" s="172"/>
      <c r="I379" s="173"/>
      <c r="J379" s="182"/>
      <c r="K379" s="88"/>
      <c r="L379" s="182"/>
      <c r="M379" s="27" t="s">
        <v>969</v>
      </c>
      <c r="N379" s="91">
        <v>400</v>
      </c>
      <c r="O379" s="88">
        <v>148.58000000000001</v>
      </c>
      <c r="P379" s="96"/>
      <c r="Q379" s="96"/>
      <c r="R379" s="96">
        <f t="shared" si="43"/>
        <v>148.58000000000001</v>
      </c>
      <c r="S379" s="2">
        <f t="shared" si="41"/>
        <v>0.40375000000000005</v>
      </c>
    </row>
    <row r="380" spans="1:19" x14ac:dyDescent="0.25">
      <c r="A380" s="202"/>
      <c r="B380" s="182"/>
      <c r="C380" s="191"/>
      <c r="D380" s="182"/>
      <c r="E380" s="182"/>
      <c r="F380" s="174"/>
      <c r="G380" s="175"/>
      <c r="H380" s="172"/>
      <c r="I380" s="173"/>
      <c r="J380" s="182"/>
      <c r="K380" s="88"/>
      <c r="L380" s="183"/>
      <c r="M380" s="34" t="s">
        <v>970</v>
      </c>
      <c r="N380" s="3">
        <f>2*400</f>
        <v>800</v>
      </c>
      <c r="O380" s="88">
        <v>13.3</v>
      </c>
      <c r="P380" s="96"/>
      <c r="Q380" s="96"/>
      <c r="R380" s="96">
        <f t="shared" si="43"/>
        <v>13.3</v>
      </c>
      <c r="S380" s="2">
        <f t="shared" si="41"/>
        <v>1.8070652173913043E-2</v>
      </c>
    </row>
    <row r="381" spans="1:19" x14ac:dyDescent="0.25">
      <c r="A381" s="203">
        <f>A376+1</f>
        <v>11</v>
      </c>
      <c r="B381" s="182"/>
      <c r="C381" s="191"/>
      <c r="D381" s="182"/>
      <c r="E381" s="182"/>
      <c r="F381" s="170" t="s">
        <v>47</v>
      </c>
      <c r="G381" s="171"/>
      <c r="H381" s="172"/>
      <c r="I381" s="173"/>
      <c r="J381" s="182"/>
      <c r="K381" s="88"/>
      <c r="L381" s="181">
        <v>0.45300000000000001</v>
      </c>
      <c r="M381" s="44" t="s">
        <v>971</v>
      </c>
      <c r="N381" s="91">
        <v>400</v>
      </c>
      <c r="O381" s="88">
        <v>53.96</v>
      </c>
      <c r="P381" s="96"/>
      <c r="Q381" s="96"/>
      <c r="R381" s="96">
        <f t="shared" si="43"/>
        <v>53.96</v>
      </c>
      <c r="S381" s="2">
        <f t="shared" si="41"/>
        <v>0.1466304347826087</v>
      </c>
    </row>
    <row r="382" spans="1:19" x14ac:dyDescent="0.25">
      <c r="A382" s="201"/>
      <c r="B382" s="182"/>
      <c r="C382" s="191"/>
      <c r="D382" s="182"/>
      <c r="E382" s="182"/>
      <c r="F382" s="172"/>
      <c r="G382" s="173"/>
      <c r="H382" s="172"/>
      <c r="I382" s="173"/>
      <c r="J382" s="182"/>
      <c r="K382" s="88"/>
      <c r="L382" s="182"/>
      <c r="M382" s="21" t="s">
        <v>972</v>
      </c>
      <c r="N382" s="3">
        <f>2*400</f>
        <v>800</v>
      </c>
      <c r="O382" s="88">
        <v>180.88</v>
      </c>
      <c r="P382" s="96"/>
      <c r="Q382" s="96"/>
      <c r="R382" s="96">
        <f t="shared" si="43"/>
        <v>180.88</v>
      </c>
      <c r="S382" s="2">
        <f t="shared" si="41"/>
        <v>0.24576086956521739</v>
      </c>
    </row>
    <row r="383" spans="1:19" x14ac:dyDescent="0.25">
      <c r="A383" s="201"/>
      <c r="B383" s="182"/>
      <c r="C383" s="191"/>
      <c r="D383" s="182"/>
      <c r="E383" s="182"/>
      <c r="F383" s="172"/>
      <c r="G383" s="173"/>
      <c r="H383" s="172"/>
      <c r="I383" s="173"/>
      <c r="J383" s="182"/>
      <c r="K383" s="88"/>
      <c r="L383" s="182"/>
      <c r="M383" s="29" t="s">
        <v>973</v>
      </c>
      <c r="N383" s="3">
        <f>2*630</f>
        <v>1260</v>
      </c>
      <c r="O383" s="88">
        <v>80.180000000000007</v>
      </c>
      <c r="P383" s="96"/>
      <c r="Q383" s="96"/>
      <c r="R383" s="96">
        <f t="shared" si="43"/>
        <v>80.180000000000007</v>
      </c>
      <c r="S383" s="2">
        <f t="shared" si="41"/>
        <v>6.9168391994478953E-2</v>
      </c>
    </row>
    <row r="384" spans="1:19" x14ac:dyDescent="0.25">
      <c r="A384" s="201"/>
      <c r="B384" s="182"/>
      <c r="C384" s="191"/>
      <c r="D384" s="182"/>
      <c r="E384" s="182"/>
      <c r="F384" s="172"/>
      <c r="G384" s="173"/>
      <c r="H384" s="172"/>
      <c r="I384" s="173"/>
      <c r="J384" s="182"/>
      <c r="K384" s="88"/>
      <c r="L384" s="182"/>
      <c r="M384" s="29" t="s">
        <v>974</v>
      </c>
      <c r="N384" s="3">
        <f>2*400</f>
        <v>800</v>
      </c>
      <c r="O384" s="88">
        <v>132.62</v>
      </c>
      <c r="P384" s="96"/>
      <c r="Q384" s="96"/>
      <c r="R384" s="96">
        <f t="shared" si="43"/>
        <v>132.62</v>
      </c>
      <c r="S384" s="2">
        <f t="shared" si="41"/>
        <v>0.18019021739130436</v>
      </c>
    </row>
    <row r="385" spans="1:19" x14ac:dyDescent="0.25">
      <c r="A385" s="201"/>
      <c r="B385" s="182"/>
      <c r="C385" s="191"/>
      <c r="D385" s="182"/>
      <c r="E385" s="182"/>
      <c r="F385" s="172"/>
      <c r="G385" s="173"/>
      <c r="H385" s="172"/>
      <c r="I385" s="173"/>
      <c r="J385" s="182"/>
      <c r="K385" s="88"/>
      <c r="L385" s="182"/>
      <c r="M385" s="29" t="s">
        <v>975</v>
      </c>
      <c r="N385" s="3">
        <f t="shared" ref="N385:N386" si="46">2*630</f>
        <v>1260</v>
      </c>
      <c r="O385" s="88">
        <v>59.66</v>
      </c>
      <c r="P385" s="96"/>
      <c r="Q385" s="96"/>
      <c r="R385" s="96">
        <f t="shared" si="43"/>
        <v>59.66</v>
      </c>
      <c r="S385" s="2">
        <f t="shared" si="41"/>
        <v>5.1466528640441676E-2</v>
      </c>
    </row>
    <row r="386" spans="1:19" x14ac:dyDescent="0.25">
      <c r="A386" s="201"/>
      <c r="B386" s="182"/>
      <c r="C386" s="191"/>
      <c r="D386" s="182"/>
      <c r="E386" s="182"/>
      <c r="F386" s="172"/>
      <c r="G386" s="173"/>
      <c r="H386" s="172"/>
      <c r="I386" s="173"/>
      <c r="J386" s="182"/>
      <c r="K386" s="88"/>
      <c r="L386" s="182"/>
      <c r="M386" s="29" t="s">
        <v>976</v>
      </c>
      <c r="N386" s="3">
        <f t="shared" si="46"/>
        <v>1260</v>
      </c>
      <c r="O386" s="88">
        <v>53.2</v>
      </c>
      <c r="P386" s="96"/>
      <c r="Q386" s="96"/>
      <c r="R386" s="96">
        <f t="shared" si="43"/>
        <v>53.2</v>
      </c>
      <c r="S386" s="2">
        <f t="shared" si="41"/>
        <v>4.5893719806763288E-2</v>
      </c>
    </row>
    <row r="387" spans="1:19" x14ac:dyDescent="0.25">
      <c r="A387" s="201"/>
      <c r="B387" s="182"/>
      <c r="C387" s="191"/>
      <c r="D387" s="182"/>
      <c r="E387" s="182"/>
      <c r="F387" s="172"/>
      <c r="G387" s="173"/>
      <c r="H387" s="172"/>
      <c r="I387" s="173"/>
      <c r="J387" s="182"/>
      <c r="K387" s="88"/>
      <c r="L387" s="182"/>
      <c r="M387" s="21" t="s">
        <v>977</v>
      </c>
      <c r="N387" s="3">
        <f t="shared" ref="N387:N388" si="47">2*400</f>
        <v>800</v>
      </c>
      <c r="O387" s="88">
        <v>0.38</v>
      </c>
      <c r="P387" s="96"/>
      <c r="Q387" s="96"/>
      <c r="R387" s="96">
        <f t="shared" si="43"/>
        <v>0.38</v>
      </c>
      <c r="S387" s="2">
        <f t="shared" si="41"/>
        <v>5.1630434782608692E-4</v>
      </c>
    </row>
    <row r="388" spans="1:19" x14ac:dyDescent="0.25">
      <c r="A388" s="201"/>
      <c r="B388" s="182"/>
      <c r="C388" s="191"/>
      <c r="D388" s="182"/>
      <c r="E388" s="182"/>
      <c r="F388" s="172"/>
      <c r="G388" s="173"/>
      <c r="H388" s="172"/>
      <c r="I388" s="173"/>
      <c r="J388" s="182"/>
      <c r="K388" s="88"/>
      <c r="L388" s="182"/>
      <c r="M388" s="45" t="s">
        <v>978</v>
      </c>
      <c r="N388" s="3">
        <f t="shared" si="47"/>
        <v>800</v>
      </c>
      <c r="O388" s="88">
        <v>52.44</v>
      </c>
      <c r="P388" s="96"/>
      <c r="Q388" s="96"/>
      <c r="R388" s="96">
        <f t="shared" si="43"/>
        <v>52.44</v>
      </c>
      <c r="S388" s="2">
        <f t="shared" si="41"/>
        <v>7.1249999999999994E-2</v>
      </c>
    </row>
    <row r="389" spans="1:19" x14ac:dyDescent="0.25">
      <c r="A389" s="201"/>
      <c r="B389" s="182"/>
      <c r="C389" s="191"/>
      <c r="D389" s="182"/>
      <c r="E389" s="182"/>
      <c r="F389" s="172"/>
      <c r="G389" s="173"/>
      <c r="H389" s="172"/>
      <c r="I389" s="173"/>
      <c r="J389" s="182"/>
      <c r="K389" s="88">
        <v>0.05</v>
      </c>
      <c r="L389" s="182"/>
      <c r="M389" s="45" t="s">
        <v>979</v>
      </c>
      <c r="N389" s="91">
        <v>63</v>
      </c>
      <c r="O389" s="88">
        <v>0.24</v>
      </c>
      <c r="P389" s="96"/>
      <c r="Q389" s="96"/>
      <c r="R389" s="96">
        <f t="shared" si="43"/>
        <v>0.24</v>
      </c>
      <c r="S389" s="2">
        <f t="shared" si="41"/>
        <v>4.1407867494824011E-3</v>
      </c>
    </row>
    <row r="390" spans="1:19" x14ac:dyDescent="0.25">
      <c r="A390" s="201"/>
      <c r="B390" s="182"/>
      <c r="C390" s="191"/>
      <c r="D390" s="182"/>
      <c r="E390" s="182"/>
      <c r="F390" s="172"/>
      <c r="G390" s="173"/>
      <c r="H390" s="172"/>
      <c r="I390" s="173"/>
      <c r="J390" s="182"/>
      <c r="K390" s="88"/>
      <c r="L390" s="182"/>
      <c r="M390" s="21" t="s">
        <v>980</v>
      </c>
      <c r="N390" s="160">
        <f>2*1000</f>
        <v>2000</v>
      </c>
      <c r="O390" s="88">
        <v>124.3</v>
      </c>
      <c r="P390" s="96"/>
      <c r="Q390" s="96"/>
      <c r="R390" s="96">
        <f t="shared" si="43"/>
        <v>124.3</v>
      </c>
      <c r="S390" s="2">
        <f t="shared" si="41"/>
        <v>6.755434782608695E-2</v>
      </c>
    </row>
    <row r="391" spans="1:19" x14ac:dyDescent="0.25">
      <c r="A391" s="201"/>
      <c r="B391" s="182"/>
      <c r="C391" s="191"/>
      <c r="D391" s="182"/>
      <c r="E391" s="182"/>
      <c r="F391" s="172"/>
      <c r="G391" s="173"/>
      <c r="H391" s="172"/>
      <c r="I391" s="173"/>
      <c r="J391" s="182"/>
      <c r="K391" s="88"/>
      <c r="L391" s="182"/>
      <c r="M391" s="21" t="s">
        <v>981</v>
      </c>
      <c r="N391" s="3">
        <f>2*400</f>
        <v>800</v>
      </c>
      <c r="O391" s="88">
        <v>355.3</v>
      </c>
      <c r="P391" s="96"/>
      <c r="Q391" s="96"/>
      <c r="R391" s="96">
        <f t="shared" si="43"/>
        <v>355.3</v>
      </c>
      <c r="S391" s="2">
        <f t="shared" si="41"/>
        <v>0.48274456521739134</v>
      </c>
    </row>
    <row r="392" spans="1:19" x14ac:dyDescent="0.25">
      <c r="A392" s="203">
        <f>A381+1</f>
        <v>12</v>
      </c>
      <c r="B392" s="182"/>
      <c r="C392" s="191"/>
      <c r="D392" s="182"/>
      <c r="E392" s="182"/>
      <c r="F392" s="170" t="s">
        <v>48</v>
      </c>
      <c r="G392" s="171"/>
      <c r="H392" s="172"/>
      <c r="I392" s="173"/>
      <c r="J392" s="182"/>
      <c r="K392" s="88"/>
      <c r="L392" s="181">
        <v>1.27</v>
      </c>
      <c r="M392" s="22" t="s">
        <v>982</v>
      </c>
      <c r="N392" s="3">
        <f>2*630</f>
        <v>1260</v>
      </c>
      <c r="O392" s="88">
        <v>25.84</v>
      </c>
      <c r="P392" s="96"/>
      <c r="Q392" s="96"/>
      <c r="R392" s="96">
        <f t="shared" si="43"/>
        <v>25.84</v>
      </c>
      <c r="S392" s="2">
        <f t="shared" si="41"/>
        <v>2.2291235334713593E-2</v>
      </c>
    </row>
    <row r="393" spans="1:19" x14ac:dyDescent="0.25">
      <c r="A393" s="201"/>
      <c r="B393" s="182"/>
      <c r="C393" s="191"/>
      <c r="D393" s="182"/>
      <c r="E393" s="182"/>
      <c r="F393" s="172"/>
      <c r="G393" s="173"/>
      <c r="H393" s="172"/>
      <c r="I393" s="173"/>
      <c r="J393" s="182"/>
      <c r="K393" s="88"/>
      <c r="L393" s="182"/>
      <c r="M393" s="22" t="s">
        <v>983</v>
      </c>
      <c r="N393" s="91">
        <v>250</v>
      </c>
      <c r="O393" s="88">
        <v>27.74</v>
      </c>
      <c r="P393" s="96"/>
      <c r="Q393" s="96"/>
      <c r="R393" s="96">
        <f t="shared" si="43"/>
        <v>27.74</v>
      </c>
      <c r="S393" s="2">
        <f t="shared" si="41"/>
        <v>0.1206086956521739</v>
      </c>
    </row>
    <row r="394" spans="1:19" x14ac:dyDescent="0.25">
      <c r="A394" s="201"/>
      <c r="B394" s="182"/>
      <c r="C394" s="191"/>
      <c r="D394" s="182"/>
      <c r="E394" s="182"/>
      <c r="F394" s="172"/>
      <c r="G394" s="173"/>
      <c r="H394" s="172"/>
      <c r="I394" s="173"/>
      <c r="J394" s="182"/>
      <c r="K394" s="88"/>
      <c r="L394" s="182"/>
      <c r="M394" s="22" t="s">
        <v>984</v>
      </c>
      <c r="N394" s="91">
        <v>400</v>
      </c>
      <c r="O394" s="88">
        <v>65.739999999999995</v>
      </c>
      <c r="P394" s="96"/>
      <c r="Q394" s="96"/>
      <c r="R394" s="96">
        <f t="shared" si="43"/>
        <v>65.739999999999995</v>
      </c>
      <c r="S394" s="2">
        <f t="shared" si="41"/>
        <v>0.17864130434782607</v>
      </c>
    </row>
    <row r="395" spans="1:19" x14ac:dyDescent="0.25">
      <c r="A395" s="201"/>
      <c r="B395" s="182"/>
      <c r="C395" s="191"/>
      <c r="D395" s="182"/>
      <c r="E395" s="182"/>
      <c r="F395" s="172"/>
      <c r="G395" s="173"/>
      <c r="H395" s="172"/>
      <c r="I395" s="173"/>
      <c r="J395" s="182"/>
      <c r="K395" s="88"/>
      <c r="L395" s="182"/>
      <c r="M395" s="22" t="s">
        <v>985</v>
      </c>
      <c r="N395" s="91">
        <v>400</v>
      </c>
      <c r="O395" s="88">
        <v>41.8</v>
      </c>
      <c r="P395" s="96"/>
      <c r="Q395" s="96"/>
      <c r="R395" s="96">
        <f t="shared" si="43"/>
        <v>41.8</v>
      </c>
      <c r="S395" s="2">
        <f t="shared" si="41"/>
        <v>0.11358695652173913</v>
      </c>
    </row>
    <row r="396" spans="1:19" x14ac:dyDescent="0.25">
      <c r="A396" s="201"/>
      <c r="B396" s="182"/>
      <c r="C396" s="191"/>
      <c r="D396" s="182"/>
      <c r="E396" s="182"/>
      <c r="F396" s="172"/>
      <c r="G396" s="173"/>
      <c r="H396" s="172"/>
      <c r="I396" s="173"/>
      <c r="J396" s="182"/>
      <c r="K396" s="88"/>
      <c r="L396" s="182"/>
      <c r="M396" s="40" t="s">
        <v>986</v>
      </c>
      <c r="N396" s="3">
        <f t="shared" ref="N396:N398" si="48">2*630</f>
        <v>1260</v>
      </c>
      <c r="O396" s="88">
        <v>393.68</v>
      </c>
      <c r="P396" s="96"/>
      <c r="Q396" s="96"/>
      <c r="R396" s="96">
        <f t="shared" si="43"/>
        <v>393.68</v>
      </c>
      <c r="S396" s="2">
        <f t="shared" si="41"/>
        <v>0.33961352657004829</v>
      </c>
    </row>
    <row r="397" spans="1:19" x14ac:dyDescent="0.25">
      <c r="A397" s="201"/>
      <c r="B397" s="182"/>
      <c r="C397" s="191"/>
      <c r="D397" s="182"/>
      <c r="E397" s="182"/>
      <c r="F397" s="172"/>
      <c r="G397" s="173"/>
      <c r="H397" s="172"/>
      <c r="I397" s="173"/>
      <c r="J397" s="182"/>
      <c r="K397" s="88"/>
      <c r="L397" s="182"/>
      <c r="M397" s="43" t="s">
        <v>987</v>
      </c>
      <c r="N397" s="3">
        <f t="shared" si="48"/>
        <v>1260</v>
      </c>
      <c r="O397" s="88">
        <v>90.82</v>
      </c>
      <c r="P397" s="96"/>
      <c r="Q397" s="96"/>
      <c r="R397" s="96">
        <f t="shared" si="43"/>
        <v>90.82</v>
      </c>
      <c r="S397" s="2">
        <f t="shared" si="41"/>
        <v>7.8347135955831593E-2</v>
      </c>
    </row>
    <row r="398" spans="1:19" x14ac:dyDescent="0.25">
      <c r="A398" s="201"/>
      <c r="B398" s="182"/>
      <c r="C398" s="191"/>
      <c r="D398" s="182"/>
      <c r="E398" s="182"/>
      <c r="F398" s="172"/>
      <c r="G398" s="173"/>
      <c r="H398" s="172"/>
      <c r="I398" s="173"/>
      <c r="J398" s="182"/>
      <c r="K398" s="88"/>
      <c r="L398" s="182"/>
      <c r="M398" s="41" t="s">
        <v>988</v>
      </c>
      <c r="N398" s="3">
        <f t="shared" si="48"/>
        <v>1260</v>
      </c>
      <c r="O398" s="88">
        <v>1.21</v>
      </c>
      <c r="P398" s="96"/>
      <c r="Q398" s="96">
        <f>10</f>
        <v>10</v>
      </c>
      <c r="R398" s="96">
        <f t="shared" si="43"/>
        <v>11.21</v>
      </c>
      <c r="S398" s="2">
        <f t="shared" si="41"/>
        <v>9.6704623878536931E-3</v>
      </c>
    </row>
    <row r="399" spans="1:19" x14ac:dyDescent="0.25">
      <c r="A399" s="201"/>
      <c r="B399" s="182"/>
      <c r="C399" s="191"/>
      <c r="D399" s="182"/>
      <c r="E399" s="182"/>
      <c r="F399" s="172"/>
      <c r="G399" s="173"/>
      <c r="H399" s="172"/>
      <c r="I399" s="173"/>
      <c r="J399" s="182"/>
      <c r="K399" s="88"/>
      <c r="L399" s="182"/>
      <c r="M399" s="41" t="s">
        <v>989</v>
      </c>
      <c r="N399" s="91">
        <v>250</v>
      </c>
      <c r="O399" s="88">
        <v>48.26</v>
      </c>
      <c r="P399" s="96"/>
      <c r="Q399" s="96"/>
      <c r="R399" s="96">
        <f t="shared" si="43"/>
        <v>48.26</v>
      </c>
      <c r="S399" s="2">
        <f t="shared" si="41"/>
        <v>0.20982608695652172</v>
      </c>
    </row>
    <row r="400" spans="1:19" x14ac:dyDescent="0.25">
      <c r="A400" s="201"/>
      <c r="B400" s="182"/>
      <c r="C400" s="191"/>
      <c r="D400" s="182"/>
      <c r="E400" s="182"/>
      <c r="F400" s="172"/>
      <c r="G400" s="173"/>
      <c r="H400" s="172"/>
      <c r="I400" s="173"/>
      <c r="J400" s="182"/>
      <c r="K400" s="88"/>
      <c r="L400" s="182"/>
      <c r="M400" s="43" t="s">
        <v>990</v>
      </c>
      <c r="N400" s="3">
        <f>2*400</f>
        <v>800</v>
      </c>
      <c r="O400" s="88">
        <v>32.299999999999997</v>
      </c>
      <c r="P400" s="96"/>
      <c r="Q400" s="96"/>
      <c r="R400" s="96">
        <f t="shared" si="43"/>
        <v>32.299999999999997</v>
      </c>
      <c r="S400" s="2">
        <f t="shared" si="41"/>
        <v>4.3885869565217388E-2</v>
      </c>
    </row>
    <row r="401" spans="1:19" x14ac:dyDescent="0.25">
      <c r="A401" s="201"/>
      <c r="B401" s="182"/>
      <c r="C401" s="191"/>
      <c r="D401" s="182"/>
      <c r="E401" s="182"/>
      <c r="F401" s="172"/>
      <c r="G401" s="173"/>
      <c r="H401" s="172"/>
      <c r="I401" s="173"/>
      <c r="J401" s="182"/>
      <c r="K401" s="88"/>
      <c r="L401" s="182"/>
      <c r="M401" s="26" t="s">
        <v>991</v>
      </c>
      <c r="N401" s="91">
        <v>250</v>
      </c>
      <c r="O401" s="88">
        <v>33.44</v>
      </c>
      <c r="P401" s="96"/>
      <c r="Q401" s="96">
        <f>1+15+15</f>
        <v>31</v>
      </c>
      <c r="R401" s="96">
        <f t="shared" si="43"/>
        <v>64.44</v>
      </c>
      <c r="S401" s="2">
        <f t="shared" si="41"/>
        <v>0.28017391304347827</v>
      </c>
    </row>
    <row r="402" spans="1:19" x14ac:dyDescent="0.25">
      <c r="A402" s="201"/>
      <c r="B402" s="182"/>
      <c r="C402" s="191"/>
      <c r="D402" s="182"/>
      <c r="E402" s="182"/>
      <c r="F402" s="172"/>
      <c r="G402" s="173"/>
      <c r="H402" s="172"/>
      <c r="I402" s="173"/>
      <c r="J402" s="182"/>
      <c r="K402" s="88"/>
      <c r="L402" s="182"/>
      <c r="M402" s="22" t="s">
        <v>992</v>
      </c>
      <c r="N402" s="91">
        <v>630</v>
      </c>
      <c r="O402" s="88">
        <v>91.96</v>
      </c>
      <c r="P402" s="96"/>
      <c r="Q402" s="96"/>
      <c r="R402" s="96">
        <f t="shared" si="43"/>
        <v>91.96</v>
      </c>
      <c r="S402" s="2">
        <f t="shared" si="41"/>
        <v>0.15866114561766734</v>
      </c>
    </row>
    <row r="403" spans="1:19" x14ac:dyDescent="0.25">
      <c r="A403" s="201"/>
      <c r="B403" s="182"/>
      <c r="C403" s="191"/>
      <c r="D403" s="182"/>
      <c r="E403" s="182"/>
      <c r="F403" s="172"/>
      <c r="G403" s="173"/>
      <c r="H403" s="172"/>
      <c r="I403" s="173"/>
      <c r="J403" s="182"/>
      <c r="K403" s="88"/>
      <c r="L403" s="182"/>
      <c r="M403" s="25" t="s">
        <v>993</v>
      </c>
      <c r="N403" s="160">
        <f>2*1000</f>
        <v>2000</v>
      </c>
      <c r="O403" s="88">
        <v>57</v>
      </c>
      <c r="P403" s="96"/>
      <c r="Q403" s="96"/>
      <c r="R403" s="96">
        <f t="shared" si="43"/>
        <v>57</v>
      </c>
      <c r="S403" s="2">
        <f t="shared" si="41"/>
        <v>3.0978260869565219E-2</v>
      </c>
    </row>
    <row r="404" spans="1:19" x14ac:dyDescent="0.25">
      <c r="A404" s="201"/>
      <c r="B404" s="182"/>
      <c r="C404" s="191"/>
      <c r="D404" s="182"/>
      <c r="E404" s="182"/>
      <c r="F404" s="172"/>
      <c r="G404" s="173"/>
      <c r="H404" s="172"/>
      <c r="I404" s="173"/>
      <c r="J404" s="182"/>
      <c r="K404" s="88"/>
      <c r="L404" s="182"/>
      <c r="M404" s="25" t="s">
        <v>994</v>
      </c>
      <c r="N404" s="3">
        <f>2*630</f>
        <v>1260</v>
      </c>
      <c r="O404" s="88">
        <v>196.08</v>
      </c>
      <c r="P404" s="96"/>
      <c r="Q404" s="96"/>
      <c r="R404" s="96">
        <f t="shared" si="43"/>
        <v>196.08</v>
      </c>
      <c r="S404" s="2">
        <f t="shared" si="41"/>
        <v>0.16915113871635612</v>
      </c>
    </row>
    <row r="405" spans="1:19" x14ac:dyDescent="0.25">
      <c r="A405" s="201"/>
      <c r="B405" s="182"/>
      <c r="C405" s="191"/>
      <c r="D405" s="182"/>
      <c r="E405" s="182"/>
      <c r="F405" s="172"/>
      <c r="G405" s="173"/>
      <c r="H405" s="172"/>
      <c r="I405" s="173"/>
      <c r="J405" s="182"/>
      <c r="K405" s="88"/>
      <c r="L405" s="182"/>
      <c r="M405" s="22" t="s">
        <v>995</v>
      </c>
      <c r="N405" s="91">
        <v>160</v>
      </c>
      <c r="O405" s="88">
        <v>25.08</v>
      </c>
      <c r="P405" s="96"/>
      <c r="Q405" s="96"/>
      <c r="R405" s="96">
        <f t="shared" si="43"/>
        <v>25.08</v>
      </c>
      <c r="S405" s="2">
        <f t="shared" si="41"/>
        <v>0.17038043478260867</v>
      </c>
    </row>
    <row r="406" spans="1:19" x14ac:dyDescent="0.25">
      <c r="A406" s="201"/>
      <c r="B406" s="182"/>
      <c r="C406" s="191"/>
      <c r="D406" s="182"/>
      <c r="E406" s="182"/>
      <c r="F406" s="172"/>
      <c r="G406" s="173"/>
      <c r="H406" s="172"/>
      <c r="I406" s="173"/>
      <c r="J406" s="182"/>
      <c r="K406" s="88"/>
      <c r="L406" s="182"/>
      <c r="M406" s="21" t="s">
        <v>996</v>
      </c>
      <c r="N406" s="91">
        <v>160</v>
      </c>
      <c r="O406" s="88">
        <v>25.46</v>
      </c>
      <c r="P406" s="96"/>
      <c r="Q406" s="96"/>
      <c r="R406" s="96">
        <f t="shared" si="43"/>
        <v>25.46</v>
      </c>
      <c r="S406" s="2">
        <f t="shared" si="41"/>
        <v>0.17296195652173912</v>
      </c>
    </row>
    <row r="407" spans="1:19" x14ac:dyDescent="0.25">
      <c r="A407" s="201"/>
      <c r="B407" s="182"/>
      <c r="C407" s="191"/>
      <c r="D407" s="182"/>
      <c r="E407" s="182"/>
      <c r="F407" s="172"/>
      <c r="G407" s="173"/>
      <c r="H407" s="172"/>
      <c r="I407" s="173"/>
      <c r="J407" s="182"/>
      <c r="K407" s="88"/>
      <c r="L407" s="182"/>
      <c r="M407" s="21" t="s">
        <v>997</v>
      </c>
      <c r="N407" s="91">
        <v>160</v>
      </c>
      <c r="O407" s="88">
        <v>14.06</v>
      </c>
      <c r="P407" s="96"/>
      <c r="Q407" s="96">
        <f>15+26.1</f>
        <v>41.1</v>
      </c>
      <c r="R407" s="96">
        <f t="shared" si="43"/>
        <v>55.160000000000004</v>
      </c>
      <c r="S407" s="2">
        <f t="shared" si="41"/>
        <v>0.37472826086956518</v>
      </c>
    </row>
    <row r="408" spans="1:19" ht="14.25" customHeight="1" x14ac:dyDescent="0.25">
      <c r="A408" s="201"/>
      <c r="B408" s="182"/>
      <c r="C408" s="191"/>
      <c r="D408" s="182"/>
      <c r="E408" s="182"/>
      <c r="F408" s="172"/>
      <c r="G408" s="173"/>
      <c r="H408" s="172"/>
      <c r="I408" s="173"/>
      <c r="J408" s="182"/>
      <c r="K408" s="88"/>
      <c r="L408" s="182"/>
      <c r="M408" s="25" t="s">
        <v>998</v>
      </c>
      <c r="N408" s="3">
        <f>2*400</f>
        <v>800</v>
      </c>
      <c r="O408" s="88">
        <v>45.22</v>
      </c>
      <c r="P408" s="96"/>
      <c r="Q408" s="96">
        <f>11+5+2</f>
        <v>18</v>
      </c>
      <c r="R408" s="96">
        <f t="shared" si="43"/>
        <v>63.22</v>
      </c>
      <c r="S408" s="2">
        <f t="shared" si="41"/>
        <v>8.5896739130434788E-2</v>
      </c>
    </row>
    <row r="409" spans="1:19" x14ac:dyDescent="0.25">
      <c r="A409" s="201"/>
      <c r="B409" s="182"/>
      <c r="C409" s="191"/>
      <c r="D409" s="182"/>
      <c r="E409" s="182"/>
      <c r="F409" s="172"/>
      <c r="G409" s="173"/>
      <c r="H409" s="172"/>
      <c r="I409" s="173"/>
      <c r="J409" s="182"/>
      <c r="K409" s="88"/>
      <c r="L409" s="182"/>
      <c r="M409" s="21" t="s">
        <v>999</v>
      </c>
      <c r="N409" s="91">
        <v>250</v>
      </c>
      <c r="O409" s="88">
        <v>51.3</v>
      </c>
      <c r="P409" s="96"/>
      <c r="Q409" s="96">
        <f>15</f>
        <v>15</v>
      </c>
      <c r="R409" s="96">
        <f t="shared" si="43"/>
        <v>66.3</v>
      </c>
      <c r="S409" s="2">
        <f t="shared" ref="S409:S416" si="49">R409/(N409*0.92)</f>
        <v>0.2882608695652174</v>
      </c>
    </row>
    <row r="410" spans="1:19" x14ac:dyDescent="0.25">
      <c r="A410" s="201"/>
      <c r="B410" s="182"/>
      <c r="C410" s="191"/>
      <c r="D410" s="182"/>
      <c r="E410" s="182"/>
      <c r="F410" s="172"/>
      <c r="G410" s="173"/>
      <c r="H410" s="172"/>
      <c r="I410" s="173"/>
      <c r="J410" s="182"/>
      <c r="K410" s="88"/>
      <c r="L410" s="182"/>
      <c r="M410" s="21" t="s">
        <v>1000</v>
      </c>
      <c r="N410" s="91">
        <v>250</v>
      </c>
      <c r="O410" s="88">
        <v>37.24</v>
      </c>
      <c r="P410" s="96"/>
      <c r="Q410" s="96"/>
      <c r="R410" s="96">
        <f t="shared" si="43"/>
        <v>37.24</v>
      </c>
      <c r="S410" s="2">
        <f t="shared" si="49"/>
        <v>0.16191304347826088</v>
      </c>
    </row>
    <row r="411" spans="1:19" x14ac:dyDescent="0.25">
      <c r="A411" s="201"/>
      <c r="B411" s="182"/>
      <c r="C411" s="191"/>
      <c r="D411" s="182"/>
      <c r="E411" s="182"/>
      <c r="F411" s="172"/>
      <c r="G411" s="173"/>
      <c r="H411" s="174"/>
      <c r="I411" s="175"/>
      <c r="J411" s="182"/>
      <c r="K411" s="88"/>
      <c r="L411" s="182"/>
      <c r="M411" s="21" t="s">
        <v>1001</v>
      </c>
      <c r="N411" s="91">
        <v>250</v>
      </c>
      <c r="O411" s="88">
        <v>51.68</v>
      </c>
      <c r="P411" s="96"/>
      <c r="Q411" s="96">
        <f>11</f>
        <v>11</v>
      </c>
      <c r="R411" s="96">
        <f t="shared" si="43"/>
        <v>62.68</v>
      </c>
      <c r="S411" s="2">
        <f t="shared" si="49"/>
        <v>0.27252173913043476</v>
      </c>
    </row>
    <row r="412" spans="1:19" x14ac:dyDescent="0.25">
      <c r="A412" s="201"/>
      <c r="B412" s="182"/>
      <c r="C412" s="191"/>
      <c r="D412" s="182"/>
      <c r="E412" s="182"/>
      <c r="F412" s="172"/>
      <c r="G412" s="173"/>
      <c r="H412" s="169" t="s">
        <v>809</v>
      </c>
      <c r="I412" s="169"/>
      <c r="J412" s="182"/>
      <c r="K412" s="88">
        <v>0.15</v>
      </c>
      <c r="L412" s="182"/>
      <c r="M412" s="26" t="s">
        <v>1002</v>
      </c>
      <c r="N412" s="160">
        <f t="shared" ref="N412:N413" si="50">2*1000</f>
        <v>2000</v>
      </c>
      <c r="O412" s="88">
        <v>257.89999999999998</v>
      </c>
      <c r="P412" s="96"/>
      <c r="Q412" s="96"/>
      <c r="R412" s="96">
        <f t="shared" si="43"/>
        <v>257.89999999999998</v>
      </c>
      <c r="S412" s="2">
        <f t="shared" si="49"/>
        <v>0.14016304347826086</v>
      </c>
    </row>
    <row r="413" spans="1:19" x14ac:dyDescent="0.25">
      <c r="A413" s="201"/>
      <c r="B413" s="182"/>
      <c r="C413" s="191"/>
      <c r="D413" s="182"/>
      <c r="E413" s="182"/>
      <c r="F413" s="172"/>
      <c r="G413" s="173"/>
      <c r="H413" s="170" t="s">
        <v>812</v>
      </c>
      <c r="I413" s="171"/>
      <c r="J413" s="182"/>
      <c r="K413" s="88"/>
      <c r="L413" s="182"/>
      <c r="M413" s="25" t="s">
        <v>1003</v>
      </c>
      <c r="N413" s="160">
        <f t="shared" si="50"/>
        <v>2000</v>
      </c>
      <c r="O413" s="88">
        <v>89.68</v>
      </c>
      <c r="P413" s="96"/>
      <c r="Q413" s="96"/>
      <c r="R413" s="96">
        <f t="shared" si="43"/>
        <v>89.68</v>
      </c>
      <c r="S413" s="2">
        <f t="shared" si="49"/>
        <v>4.8739130434782611E-2</v>
      </c>
    </row>
    <row r="414" spans="1:19" x14ac:dyDescent="0.25">
      <c r="A414" s="201"/>
      <c r="B414" s="182"/>
      <c r="C414" s="191"/>
      <c r="D414" s="182"/>
      <c r="E414" s="182"/>
      <c r="F414" s="172"/>
      <c r="G414" s="173"/>
      <c r="H414" s="172"/>
      <c r="I414" s="173"/>
      <c r="J414" s="182"/>
      <c r="K414" s="88"/>
      <c r="L414" s="182"/>
      <c r="M414" s="26" t="s">
        <v>1004</v>
      </c>
      <c r="N414" s="3">
        <f>2*400</f>
        <v>800</v>
      </c>
      <c r="O414" s="88">
        <v>160.36000000000001</v>
      </c>
      <c r="P414" s="96"/>
      <c r="Q414" s="96"/>
      <c r="R414" s="96">
        <f t="shared" si="43"/>
        <v>160.36000000000001</v>
      </c>
      <c r="S414" s="2">
        <f t="shared" si="49"/>
        <v>0.21788043478260871</v>
      </c>
    </row>
    <row r="415" spans="1:19" x14ac:dyDescent="0.25">
      <c r="A415" s="201"/>
      <c r="B415" s="182"/>
      <c r="C415" s="191"/>
      <c r="D415" s="182"/>
      <c r="E415" s="182"/>
      <c r="F415" s="172"/>
      <c r="G415" s="173"/>
      <c r="H415" s="172"/>
      <c r="I415" s="173"/>
      <c r="J415" s="182"/>
      <c r="K415" s="88"/>
      <c r="L415" s="182"/>
      <c r="M415" s="26" t="s">
        <v>1005</v>
      </c>
      <c r="N415" s="3">
        <f>2*630</f>
        <v>1260</v>
      </c>
      <c r="O415" s="88">
        <v>39.14</v>
      </c>
      <c r="P415" s="96"/>
      <c r="Q415" s="96"/>
      <c r="R415" s="96">
        <f t="shared" si="43"/>
        <v>39.14</v>
      </c>
      <c r="S415" s="2">
        <f t="shared" si="49"/>
        <v>3.3764665286404413E-2</v>
      </c>
    </row>
    <row r="416" spans="1:19" x14ac:dyDescent="0.25">
      <c r="A416" s="202"/>
      <c r="B416" s="182"/>
      <c r="C416" s="191"/>
      <c r="D416" s="182"/>
      <c r="E416" s="182"/>
      <c r="F416" s="174"/>
      <c r="G416" s="175"/>
      <c r="H416" s="172"/>
      <c r="I416" s="173"/>
      <c r="J416" s="182"/>
      <c r="K416" s="88"/>
      <c r="L416" s="183"/>
      <c r="M416" s="26" t="s">
        <v>1006</v>
      </c>
      <c r="N416" s="160">
        <f>2*1000</f>
        <v>2000</v>
      </c>
      <c r="O416" s="88">
        <v>54.72</v>
      </c>
      <c r="P416" s="96"/>
      <c r="Q416" s="96"/>
      <c r="R416" s="96">
        <f t="shared" si="43"/>
        <v>54.72</v>
      </c>
      <c r="S416" s="2">
        <f t="shared" si="49"/>
        <v>2.9739130434782608E-2</v>
      </c>
    </row>
    <row r="417" spans="1:19" hidden="1" x14ac:dyDescent="0.25">
      <c r="A417" s="203">
        <f>A392+1</f>
        <v>13</v>
      </c>
      <c r="B417" s="182"/>
      <c r="C417" s="191"/>
      <c r="D417" s="182"/>
      <c r="E417" s="182"/>
      <c r="F417" s="170" t="s">
        <v>1007</v>
      </c>
      <c r="G417" s="171"/>
      <c r="H417" s="172"/>
      <c r="I417" s="173"/>
      <c r="J417" s="182"/>
      <c r="K417" s="88"/>
      <c r="L417" s="181"/>
      <c r="M417" s="43" t="s">
        <v>1008</v>
      </c>
      <c r="N417" s="91" t="s">
        <v>266</v>
      </c>
      <c r="O417" s="88" t="s">
        <v>59</v>
      </c>
      <c r="P417" s="96"/>
      <c r="Q417" s="96"/>
      <c r="R417" s="96" t="e">
        <f t="shared" ref="R417:R426" si="51">Q417+P417+O417</f>
        <v>#VALUE!</v>
      </c>
      <c r="S417" s="93"/>
    </row>
    <row r="418" spans="1:19" x14ac:dyDescent="0.25">
      <c r="A418" s="201"/>
      <c r="B418" s="182"/>
      <c r="C418" s="191"/>
      <c r="D418" s="182"/>
      <c r="E418" s="182"/>
      <c r="F418" s="172"/>
      <c r="G418" s="173"/>
      <c r="H418" s="172"/>
      <c r="I418" s="173"/>
      <c r="J418" s="182"/>
      <c r="K418" s="88"/>
      <c r="L418" s="182"/>
      <c r="M418" s="88" t="s">
        <v>1009</v>
      </c>
      <c r="N418" s="91">
        <v>630</v>
      </c>
      <c r="O418" s="88">
        <v>147.44</v>
      </c>
      <c r="P418" s="96"/>
      <c r="Q418" s="96"/>
      <c r="R418" s="96">
        <f t="shared" si="51"/>
        <v>147.44</v>
      </c>
      <c r="S418" s="2">
        <f t="shared" ref="S418:S422" si="52">R418/(N418*0.92)</f>
        <v>0.2543823326432022</v>
      </c>
    </row>
    <row r="419" spans="1:19" x14ac:dyDescent="0.25">
      <c r="A419" s="201"/>
      <c r="B419" s="182"/>
      <c r="C419" s="191"/>
      <c r="D419" s="182"/>
      <c r="E419" s="182"/>
      <c r="F419" s="172"/>
      <c r="G419" s="173"/>
      <c r="H419" s="172"/>
      <c r="I419" s="173"/>
      <c r="J419" s="182"/>
      <c r="K419" s="88"/>
      <c r="L419" s="182"/>
      <c r="M419" s="88" t="s">
        <v>1010</v>
      </c>
      <c r="N419" s="91">
        <v>400</v>
      </c>
      <c r="O419" s="88">
        <v>115.52</v>
      </c>
      <c r="P419" s="96"/>
      <c r="Q419" s="96"/>
      <c r="R419" s="96">
        <f t="shared" si="51"/>
        <v>115.52</v>
      </c>
      <c r="S419" s="2">
        <f t="shared" si="52"/>
        <v>0.31391304347826088</v>
      </c>
    </row>
    <row r="420" spans="1:19" x14ac:dyDescent="0.25">
      <c r="A420" s="201"/>
      <c r="B420" s="182"/>
      <c r="C420" s="191"/>
      <c r="D420" s="182"/>
      <c r="E420" s="182"/>
      <c r="F420" s="172"/>
      <c r="G420" s="173"/>
      <c r="H420" s="172"/>
      <c r="I420" s="173"/>
      <c r="J420" s="182"/>
      <c r="K420" s="88"/>
      <c r="L420" s="182"/>
      <c r="M420" s="88" t="s">
        <v>1011</v>
      </c>
      <c r="N420" s="3">
        <f>2*400</f>
        <v>800</v>
      </c>
      <c r="O420" s="88">
        <v>102.22</v>
      </c>
      <c r="P420" s="96"/>
      <c r="Q420" s="96"/>
      <c r="R420" s="96">
        <f t="shared" si="51"/>
        <v>102.22</v>
      </c>
      <c r="S420" s="2">
        <f t="shared" si="52"/>
        <v>0.1388858695652174</v>
      </c>
    </row>
    <row r="421" spans="1:19" x14ac:dyDescent="0.25">
      <c r="A421" s="202"/>
      <c r="B421" s="182"/>
      <c r="C421" s="191"/>
      <c r="D421" s="182"/>
      <c r="E421" s="182"/>
      <c r="F421" s="174"/>
      <c r="G421" s="175"/>
      <c r="H421" s="172"/>
      <c r="I421" s="173"/>
      <c r="J421" s="182"/>
      <c r="K421" s="88"/>
      <c r="L421" s="183"/>
      <c r="M421" s="88" t="s">
        <v>1012</v>
      </c>
      <c r="N421" s="160">
        <f>2*1000</f>
        <v>2000</v>
      </c>
      <c r="O421" s="88">
        <v>1.18</v>
      </c>
      <c r="P421" s="96"/>
      <c r="Q421" s="96"/>
      <c r="R421" s="96">
        <f t="shared" si="51"/>
        <v>1.18</v>
      </c>
      <c r="S421" s="2">
        <f t="shared" si="52"/>
        <v>6.4130434782608693E-4</v>
      </c>
    </row>
    <row r="422" spans="1:19" x14ac:dyDescent="0.25">
      <c r="A422" s="89">
        <f>A417+1</f>
        <v>14</v>
      </c>
      <c r="B422" s="182"/>
      <c r="C422" s="191"/>
      <c r="D422" s="182"/>
      <c r="E422" s="182"/>
      <c r="F422" s="176" t="s">
        <v>1013</v>
      </c>
      <c r="G422" s="177"/>
      <c r="H422" s="172"/>
      <c r="I422" s="173"/>
      <c r="J422" s="182"/>
      <c r="K422" s="88"/>
      <c r="L422" s="88"/>
      <c r="M422" s="43" t="s">
        <v>1014</v>
      </c>
      <c r="N422" s="3">
        <f>2*400</f>
        <v>800</v>
      </c>
      <c r="O422" s="88">
        <v>13.3</v>
      </c>
      <c r="P422" s="96"/>
      <c r="Q422" s="96"/>
      <c r="R422" s="96">
        <f t="shared" si="51"/>
        <v>13.3</v>
      </c>
      <c r="S422" s="2">
        <f t="shared" si="52"/>
        <v>1.8070652173913043E-2</v>
      </c>
    </row>
    <row r="423" spans="1:19" hidden="1" x14ac:dyDescent="0.25">
      <c r="A423" s="203">
        <f>A422+1</f>
        <v>15</v>
      </c>
      <c r="B423" s="182"/>
      <c r="C423" s="191"/>
      <c r="D423" s="182"/>
      <c r="E423" s="182"/>
      <c r="F423" s="170" t="s">
        <v>49</v>
      </c>
      <c r="G423" s="171"/>
      <c r="H423" s="170" t="s">
        <v>809</v>
      </c>
      <c r="I423" s="171"/>
      <c r="J423" s="182"/>
      <c r="K423" s="181">
        <v>1.7</v>
      </c>
      <c r="L423" s="181">
        <v>0.39100000000000001</v>
      </c>
      <c r="M423" s="88" t="s">
        <v>1015</v>
      </c>
      <c r="N423" s="91" t="s">
        <v>269</v>
      </c>
      <c r="O423" s="181" t="s">
        <v>1016</v>
      </c>
      <c r="P423" s="181"/>
      <c r="Q423" s="181"/>
      <c r="R423" s="181" t="e">
        <f t="shared" si="51"/>
        <v>#VALUE!</v>
      </c>
      <c r="S423" s="93"/>
    </row>
    <row r="424" spans="1:19" hidden="1" x14ac:dyDescent="0.25">
      <c r="A424" s="201"/>
      <c r="B424" s="182"/>
      <c r="C424" s="191"/>
      <c r="D424" s="182"/>
      <c r="E424" s="182"/>
      <c r="F424" s="172"/>
      <c r="G424" s="173"/>
      <c r="H424" s="172"/>
      <c r="I424" s="173"/>
      <c r="J424" s="182"/>
      <c r="K424" s="183"/>
      <c r="L424" s="182"/>
      <c r="M424" s="88" t="s">
        <v>1017</v>
      </c>
      <c r="N424" s="91" t="s">
        <v>265</v>
      </c>
      <c r="O424" s="182"/>
      <c r="P424" s="182"/>
      <c r="Q424" s="182"/>
      <c r="R424" s="182">
        <f t="shared" si="51"/>
        <v>0</v>
      </c>
      <c r="S424" s="93"/>
    </row>
    <row r="425" spans="1:19" hidden="1" x14ac:dyDescent="0.25">
      <c r="A425" s="203">
        <f>A423+1</f>
        <v>16</v>
      </c>
      <c r="B425" s="182"/>
      <c r="C425" s="191"/>
      <c r="D425" s="182"/>
      <c r="E425" s="182"/>
      <c r="F425" s="170" t="s">
        <v>50</v>
      </c>
      <c r="G425" s="171"/>
      <c r="H425" s="172"/>
      <c r="I425" s="173"/>
      <c r="J425" s="182"/>
      <c r="K425" s="181">
        <v>1.7</v>
      </c>
      <c r="L425" s="181">
        <v>0.505</v>
      </c>
      <c r="M425" s="88" t="s">
        <v>1015</v>
      </c>
      <c r="N425" s="91" t="s">
        <v>269</v>
      </c>
      <c r="O425" s="182"/>
      <c r="P425" s="182"/>
      <c r="Q425" s="182"/>
      <c r="R425" s="182">
        <f t="shared" si="51"/>
        <v>0</v>
      </c>
      <c r="S425" s="93"/>
    </row>
    <row r="426" spans="1:19" hidden="1" x14ac:dyDescent="0.25">
      <c r="A426" s="201"/>
      <c r="B426" s="182"/>
      <c r="C426" s="191"/>
      <c r="D426" s="182"/>
      <c r="E426" s="182"/>
      <c r="F426" s="172"/>
      <c r="G426" s="173"/>
      <c r="H426" s="172"/>
      <c r="I426" s="173"/>
      <c r="J426" s="182"/>
      <c r="K426" s="183"/>
      <c r="L426" s="182"/>
      <c r="M426" s="88" t="s">
        <v>1017</v>
      </c>
      <c r="N426" s="91" t="s">
        <v>265</v>
      </c>
      <c r="O426" s="183"/>
      <c r="P426" s="183"/>
      <c r="Q426" s="183"/>
      <c r="R426" s="183">
        <f t="shared" si="51"/>
        <v>0</v>
      </c>
      <c r="S426" s="93"/>
    </row>
    <row r="427" spans="1:19" hidden="1" x14ac:dyDescent="0.25">
      <c r="A427" s="89"/>
      <c r="B427" s="237" t="s">
        <v>109</v>
      </c>
      <c r="C427" s="237"/>
      <c r="D427" s="237"/>
      <c r="E427" s="237"/>
      <c r="F427" s="237"/>
      <c r="G427" s="237"/>
      <c r="H427" s="237"/>
      <c r="I427" s="237"/>
      <c r="J427" s="149">
        <f>J224</f>
        <v>22.129000000000001</v>
      </c>
      <c r="K427" s="149"/>
      <c r="L427" s="149">
        <f>SUM(L224:L425)</f>
        <v>16.151999999999997</v>
      </c>
      <c r="M427" s="149"/>
      <c r="N427" s="150"/>
      <c r="O427" s="149"/>
      <c r="P427" s="157"/>
      <c r="Q427" s="157"/>
      <c r="R427" s="157"/>
      <c r="S427" s="152"/>
    </row>
    <row r="428" spans="1:19" ht="16.5" hidden="1" thickBot="1" x14ac:dyDescent="0.3">
      <c r="A428" s="164" t="s">
        <v>1334</v>
      </c>
      <c r="B428" s="165"/>
      <c r="C428" s="165"/>
      <c r="D428" s="165"/>
      <c r="E428" s="165"/>
      <c r="F428" s="165"/>
      <c r="G428" s="165"/>
      <c r="H428" s="165"/>
      <c r="I428" s="165"/>
      <c r="J428" s="165"/>
      <c r="K428" s="165"/>
      <c r="L428" s="165"/>
      <c r="M428" s="165"/>
      <c r="N428" s="165"/>
      <c r="O428" s="165"/>
      <c r="P428" s="167"/>
      <c r="Q428" s="167"/>
      <c r="R428" s="167"/>
      <c r="S428" s="168"/>
    </row>
    <row r="429" spans="1:19" ht="15.75" customHeight="1" x14ac:dyDescent="0.25">
      <c r="A429" s="229">
        <v>1</v>
      </c>
      <c r="B429" s="229" t="s">
        <v>60</v>
      </c>
      <c r="C429" s="229" t="s">
        <v>4</v>
      </c>
      <c r="D429" s="229" t="s">
        <v>3</v>
      </c>
      <c r="E429" s="229"/>
      <c r="F429" s="219" t="s">
        <v>72</v>
      </c>
      <c r="G429" s="220"/>
      <c r="H429" s="219" t="s">
        <v>709</v>
      </c>
      <c r="I429" s="220"/>
      <c r="J429" s="229"/>
      <c r="K429" s="43"/>
      <c r="L429" s="240">
        <f>SUM(S429:S445)</f>
        <v>4.3744278856218468</v>
      </c>
      <c r="M429" s="43" t="s">
        <v>410</v>
      </c>
      <c r="N429" s="14">
        <v>250</v>
      </c>
      <c r="O429" s="35">
        <v>38.174399798818101</v>
      </c>
      <c r="P429" s="35"/>
      <c r="Q429" s="35">
        <f>2</f>
        <v>2</v>
      </c>
      <c r="R429" s="35">
        <f>O429+P429+Q429</f>
        <v>40.174399798818101</v>
      </c>
      <c r="S429" s="2">
        <f t="shared" ref="S429:S492" si="53">R429/(N429*0.92)</f>
        <v>0.17467130347312218</v>
      </c>
    </row>
    <row r="430" spans="1:19" x14ac:dyDescent="0.25">
      <c r="A430" s="230"/>
      <c r="B430" s="230"/>
      <c r="C430" s="230"/>
      <c r="D430" s="230"/>
      <c r="E430" s="230"/>
      <c r="F430" s="221"/>
      <c r="G430" s="222"/>
      <c r="H430" s="221"/>
      <c r="I430" s="222"/>
      <c r="J430" s="230"/>
      <c r="K430" s="43"/>
      <c r="L430" s="241"/>
      <c r="M430" s="43" t="s">
        <v>296</v>
      </c>
      <c r="N430" s="14">
        <f>400+630</f>
        <v>1030</v>
      </c>
      <c r="O430" s="35">
        <v>162.57028879841499</v>
      </c>
      <c r="P430" s="35"/>
      <c r="Q430" s="35">
        <f>11+11+11+11+11+11+11+11</f>
        <v>88</v>
      </c>
      <c r="R430" s="35">
        <f t="shared" ref="R430:R493" si="54">O430+P430+Q430</f>
        <v>250.57028879841499</v>
      </c>
      <c r="S430" s="2">
        <f t="shared" si="53"/>
        <v>0.26442622287717915</v>
      </c>
    </row>
    <row r="431" spans="1:19" x14ac:dyDescent="0.25">
      <c r="A431" s="230"/>
      <c r="B431" s="230"/>
      <c r="C431" s="230"/>
      <c r="D431" s="230"/>
      <c r="E431" s="230"/>
      <c r="F431" s="221"/>
      <c r="G431" s="222"/>
      <c r="H431" s="221"/>
      <c r="I431" s="222"/>
      <c r="J431" s="230"/>
      <c r="K431" s="43"/>
      <c r="L431" s="241"/>
      <c r="M431" s="43" t="s">
        <v>115</v>
      </c>
      <c r="N431" s="14">
        <v>250</v>
      </c>
      <c r="O431" s="35">
        <v>186.92292315283299</v>
      </c>
      <c r="P431" s="35"/>
      <c r="Q431" s="35"/>
      <c r="R431" s="35">
        <f t="shared" si="54"/>
        <v>186.92292315283299</v>
      </c>
      <c r="S431" s="2">
        <f t="shared" si="53"/>
        <v>0.81270836153405646</v>
      </c>
    </row>
    <row r="432" spans="1:19" x14ac:dyDescent="0.25">
      <c r="A432" s="230"/>
      <c r="B432" s="230"/>
      <c r="C432" s="230"/>
      <c r="D432" s="230"/>
      <c r="E432" s="230"/>
      <c r="F432" s="221"/>
      <c r="G432" s="222"/>
      <c r="H432" s="221"/>
      <c r="I432" s="222"/>
      <c r="J432" s="230"/>
      <c r="K432" s="43"/>
      <c r="L432" s="241"/>
      <c r="M432" s="43" t="s">
        <v>297</v>
      </c>
      <c r="N432" s="1">
        <f>2*630</f>
        <v>1260</v>
      </c>
      <c r="O432" s="35">
        <v>323.824218983077</v>
      </c>
      <c r="P432" s="35"/>
      <c r="Q432" s="35"/>
      <c r="R432" s="35">
        <f t="shared" si="54"/>
        <v>323.824218983077</v>
      </c>
      <c r="S432" s="2">
        <f t="shared" si="53"/>
        <v>0.27935146565137764</v>
      </c>
    </row>
    <row r="433" spans="1:19" x14ac:dyDescent="0.25">
      <c r="A433" s="230"/>
      <c r="B433" s="230"/>
      <c r="C433" s="230"/>
      <c r="D433" s="230"/>
      <c r="E433" s="230"/>
      <c r="F433" s="221"/>
      <c r="G433" s="222"/>
      <c r="H433" s="221"/>
      <c r="I433" s="222"/>
      <c r="J433" s="230"/>
      <c r="K433" s="43"/>
      <c r="L433" s="241"/>
      <c r="M433" s="43" t="s">
        <v>300</v>
      </c>
      <c r="N433" s="86">
        <f>2*400</f>
        <v>800</v>
      </c>
      <c r="O433" s="35">
        <v>231.67911602041301</v>
      </c>
      <c r="P433" s="35"/>
      <c r="Q433" s="35"/>
      <c r="R433" s="35">
        <f t="shared" si="54"/>
        <v>231.67911602041301</v>
      </c>
      <c r="S433" s="2">
        <f t="shared" si="53"/>
        <v>0.3147814076364307</v>
      </c>
    </row>
    <row r="434" spans="1:19" x14ac:dyDescent="0.25">
      <c r="A434" s="230"/>
      <c r="B434" s="230"/>
      <c r="C434" s="230"/>
      <c r="D434" s="230"/>
      <c r="E434" s="230"/>
      <c r="F434" s="221"/>
      <c r="G434" s="222"/>
      <c r="H434" s="221"/>
      <c r="I434" s="222"/>
      <c r="J434" s="230"/>
      <c r="K434" s="43"/>
      <c r="L434" s="241"/>
      <c r="M434" s="43" t="s">
        <v>116</v>
      </c>
      <c r="N434" s="1">
        <f>2*630</f>
        <v>1260</v>
      </c>
      <c r="O434" s="35">
        <v>48.705268708836797</v>
      </c>
      <c r="P434" s="35"/>
      <c r="Q434" s="35"/>
      <c r="R434" s="35">
        <f t="shared" si="54"/>
        <v>48.705268708836797</v>
      </c>
      <c r="S434" s="2">
        <f t="shared" si="53"/>
        <v>4.2016277354069008E-2</v>
      </c>
    </row>
    <row r="435" spans="1:19" x14ac:dyDescent="0.25">
      <c r="A435" s="230"/>
      <c r="B435" s="230"/>
      <c r="C435" s="230"/>
      <c r="D435" s="230"/>
      <c r="E435" s="230"/>
      <c r="F435" s="221"/>
      <c r="G435" s="222"/>
      <c r="H435" s="221"/>
      <c r="I435" s="222"/>
      <c r="J435" s="230"/>
      <c r="K435" s="43"/>
      <c r="L435" s="241"/>
      <c r="M435" s="43" t="s">
        <v>117</v>
      </c>
      <c r="N435" s="86">
        <f>2*400</f>
        <v>800</v>
      </c>
      <c r="O435" s="35">
        <v>165.861185332796</v>
      </c>
      <c r="P435" s="35"/>
      <c r="Q435" s="35"/>
      <c r="R435" s="35">
        <f t="shared" si="54"/>
        <v>165.861185332796</v>
      </c>
      <c r="S435" s="2">
        <f t="shared" si="53"/>
        <v>0.22535487137608151</v>
      </c>
    </row>
    <row r="436" spans="1:19" x14ac:dyDescent="0.25">
      <c r="A436" s="230"/>
      <c r="B436" s="230"/>
      <c r="C436" s="230"/>
      <c r="D436" s="230"/>
      <c r="E436" s="230"/>
      <c r="F436" s="221"/>
      <c r="G436" s="222"/>
      <c r="H436" s="221"/>
      <c r="I436" s="222"/>
      <c r="J436" s="230"/>
      <c r="K436" s="43"/>
      <c r="L436" s="241"/>
      <c r="M436" s="43" t="s">
        <v>118</v>
      </c>
      <c r="N436" s="14">
        <v>400</v>
      </c>
      <c r="O436" s="35">
        <v>91.486923655788104</v>
      </c>
      <c r="P436" s="35"/>
      <c r="Q436" s="35">
        <f>11+5+13</f>
        <v>29</v>
      </c>
      <c r="R436" s="35">
        <f t="shared" si="54"/>
        <v>120.4869236557881</v>
      </c>
      <c r="S436" s="2">
        <f t="shared" si="53"/>
        <v>0.32741011862985897</v>
      </c>
    </row>
    <row r="437" spans="1:19" x14ac:dyDescent="0.25">
      <c r="A437" s="230"/>
      <c r="B437" s="230"/>
      <c r="C437" s="230"/>
      <c r="D437" s="230"/>
      <c r="E437" s="230"/>
      <c r="F437" s="221"/>
      <c r="G437" s="222"/>
      <c r="H437" s="221"/>
      <c r="I437" s="222"/>
      <c r="J437" s="230"/>
      <c r="K437" s="43"/>
      <c r="L437" s="241"/>
      <c r="M437" s="43" t="s">
        <v>119</v>
      </c>
      <c r="N437" s="14">
        <v>160</v>
      </c>
      <c r="O437" s="35">
        <v>0.65817930687617299</v>
      </c>
      <c r="P437" s="35"/>
      <c r="Q437" s="35"/>
      <c r="R437" s="35">
        <f t="shared" si="54"/>
        <v>0.65817930687617299</v>
      </c>
      <c r="S437" s="2">
        <f t="shared" si="53"/>
        <v>4.4713268130174792E-3</v>
      </c>
    </row>
    <row r="438" spans="1:19" x14ac:dyDescent="0.25">
      <c r="A438" s="230"/>
      <c r="B438" s="230"/>
      <c r="C438" s="230"/>
      <c r="D438" s="230"/>
      <c r="E438" s="230"/>
      <c r="F438" s="221"/>
      <c r="G438" s="222"/>
      <c r="H438" s="221"/>
      <c r="I438" s="222"/>
      <c r="J438" s="230"/>
      <c r="K438" s="43"/>
      <c r="L438" s="241"/>
      <c r="M438" s="43" t="s">
        <v>308</v>
      </c>
      <c r="N438" s="86">
        <f>2*400</f>
        <v>800</v>
      </c>
      <c r="O438" s="35">
        <v>192.18835760784299</v>
      </c>
      <c r="P438" s="35"/>
      <c r="Q438" s="35">
        <f>100</f>
        <v>100</v>
      </c>
      <c r="R438" s="35">
        <f t="shared" si="54"/>
        <v>292.18835760784299</v>
      </c>
      <c r="S438" s="2">
        <f t="shared" si="53"/>
        <v>0.39699505109761274</v>
      </c>
    </row>
    <row r="439" spans="1:19" x14ac:dyDescent="0.25">
      <c r="A439" s="230"/>
      <c r="B439" s="230"/>
      <c r="C439" s="230"/>
      <c r="D439" s="230"/>
      <c r="E439" s="230"/>
      <c r="F439" s="221"/>
      <c r="G439" s="222"/>
      <c r="H439" s="221"/>
      <c r="I439" s="222"/>
      <c r="J439" s="230"/>
      <c r="K439" s="43"/>
      <c r="L439" s="241"/>
      <c r="M439" s="43" t="s">
        <v>337</v>
      </c>
      <c r="N439" s="1">
        <f>2*630</f>
        <v>1260</v>
      </c>
      <c r="O439" s="35">
        <v>244.842702157936</v>
      </c>
      <c r="P439" s="35"/>
      <c r="Q439" s="35"/>
      <c r="R439" s="35">
        <f t="shared" si="54"/>
        <v>244.842702157936</v>
      </c>
      <c r="S439" s="2">
        <f t="shared" si="53"/>
        <v>0.21121696183396824</v>
      </c>
    </row>
    <row r="440" spans="1:19" x14ac:dyDescent="0.25">
      <c r="A440" s="230"/>
      <c r="B440" s="230"/>
      <c r="C440" s="230"/>
      <c r="D440" s="230"/>
      <c r="E440" s="230"/>
      <c r="F440" s="221"/>
      <c r="G440" s="222"/>
      <c r="H440" s="221"/>
      <c r="I440" s="222"/>
      <c r="J440" s="230"/>
      <c r="K440" s="43"/>
      <c r="L440" s="241"/>
      <c r="M440" s="43" t="s">
        <v>1019</v>
      </c>
      <c r="N440" s="86">
        <f t="shared" ref="N440:N441" si="55">2*400</f>
        <v>800</v>
      </c>
      <c r="O440" s="35">
        <v>258.664467602336</v>
      </c>
      <c r="P440" s="35"/>
      <c r="Q440" s="35"/>
      <c r="R440" s="35">
        <f t="shared" si="54"/>
        <v>258.664467602336</v>
      </c>
      <c r="S440" s="2">
        <f t="shared" si="53"/>
        <v>0.35144628750317392</v>
      </c>
    </row>
    <row r="441" spans="1:19" x14ac:dyDescent="0.25">
      <c r="A441" s="230"/>
      <c r="B441" s="230"/>
      <c r="C441" s="230"/>
      <c r="D441" s="230"/>
      <c r="E441" s="230"/>
      <c r="F441" s="221"/>
      <c r="G441" s="222"/>
      <c r="H441" s="221"/>
      <c r="I441" s="222"/>
      <c r="J441" s="230"/>
      <c r="K441" s="43"/>
      <c r="L441" s="241"/>
      <c r="M441" s="43" t="s">
        <v>1020</v>
      </c>
      <c r="N441" s="86">
        <f t="shared" si="55"/>
        <v>800</v>
      </c>
      <c r="O441" s="35">
        <v>105.308689100188</v>
      </c>
      <c r="P441" s="35"/>
      <c r="Q441" s="35"/>
      <c r="R441" s="35">
        <f t="shared" si="54"/>
        <v>105.308689100188</v>
      </c>
      <c r="S441" s="2">
        <f t="shared" si="53"/>
        <v>0.14308245801655978</v>
      </c>
    </row>
    <row r="442" spans="1:19" x14ac:dyDescent="0.25">
      <c r="A442" s="230"/>
      <c r="B442" s="230"/>
      <c r="C442" s="230"/>
      <c r="D442" s="230"/>
      <c r="E442" s="230"/>
      <c r="F442" s="221"/>
      <c r="G442" s="222"/>
      <c r="H442" s="221"/>
      <c r="I442" s="222"/>
      <c r="J442" s="230"/>
      <c r="K442" s="43"/>
      <c r="L442" s="241"/>
      <c r="M442" s="43" t="s">
        <v>1021</v>
      </c>
      <c r="N442" s="14">
        <f>2*1250</f>
        <v>2500</v>
      </c>
      <c r="O442" s="35">
        <v>200.74468859723299</v>
      </c>
      <c r="P442" s="35"/>
      <c r="Q442" s="35"/>
      <c r="R442" s="35">
        <f t="shared" si="54"/>
        <v>200.74468859723299</v>
      </c>
      <c r="S442" s="2">
        <f t="shared" si="53"/>
        <v>8.7280299390101304E-2</v>
      </c>
    </row>
    <row r="443" spans="1:19" x14ac:dyDescent="0.25">
      <c r="A443" s="230"/>
      <c r="B443" s="230"/>
      <c r="C443" s="230"/>
      <c r="D443" s="230"/>
      <c r="E443" s="230"/>
      <c r="F443" s="221"/>
      <c r="G443" s="222"/>
      <c r="H443" s="221"/>
      <c r="I443" s="222"/>
      <c r="J443" s="230"/>
      <c r="K443" s="43"/>
      <c r="L443" s="241"/>
      <c r="M443" s="43" t="s">
        <v>1022</v>
      </c>
      <c r="N443" s="1">
        <f>2*630</f>
        <v>1260</v>
      </c>
      <c r="O443" s="35">
        <v>287.77712958111698</v>
      </c>
      <c r="P443" s="35"/>
      <c r="Q443" s="35"/>
      <c r="R443" s="35">
        <f t="shared" si="54"/>
        <v>287.77712958111698</v>
      </c>
      <c r="S443" s="2">
        <f t="shared" si="53"/>
        <v>0.24825494270282691</v>
      </c>
    </row>
    <row r="444" spans="1:19" x14ac:dyDescent="0.25">
      <c r="A444" s="230"/>
      <c r="B444" s="230"/>
      <c r="C444" s="230"/>
      <c r="D444" s="230"/>
      <c r="E444" s="230"/>
      <c r="F444" s="221"/>
      <c r="G444" s="222"/>
      <c r="H444" s="221"/>
      <c r="I444" s="222"/>
      <c r="J444" s="230"/>
      <c r="K444" s="43"/>
      <c r="L444" s="241"/>
      <c r="M444" s="43" t="s">
        <v>1023</v>
      </c>
      <c r="N444" s="86">
        <f>2*400</f>
        <v>800</v>
      </c>
      <c r="O444" s="35">
        <v>270.664467602336</v>
      </c>
      <c r="P444" s="35"/>
      <c r="Q444" s="35"/>
      <c r="R444" s="35">
        <f t="shared" si="54"/>
        <v>270.664467602336</v>
      </c>
      <c r="S444" s="2">
        <f t="shared" si="53"/>
        <v>0.36775063532926089</v>
      </c>
    </row>
    <row r="445" spans="1:19" x14ac:dyDescent="0.25">
      <c r="A445" s="231"/>
      <c r="B445" s="230"/>
      <c r="C445" s="230"/>
      <c r="D445" s="230"/>
      <c r="E445" s="230"/>
      <c r="F445" s="223"/>
      <c r="G445" s="224"/>
      <c r="H445" s="221"/>
      <c r="I445" s="222"/>
      <c r="J445" s="231"/>
      <c r="K445" s="43"/>
      <c r="L445" s="242"/>
      <c r="M445" s="43" t="s">
        <v>348</v>
      </c>
      <c r="N445" s="1">
        <f>2*630</f>
        <v>1260</v>
      </c>
      <c r="O445" s="35">
        <v>142.82490959213001</v>
      </c>
      <c r="P445" s="35"/>
      <c r="Q445" s="35"/>
      <c r="R445" s="35">
        <f t="shared" si="54"/>
        <v>142.82490959213001</v>
      </c>
      <c r="S445" s="2">
        <f t="shared" si="53"/>
        <v>0.12320989440314872</v>
      </c>
    </row>
    <row r="446" spans="1:19" x14ac:dyDescent="0.25">
      <c r="A446" s="229">
        <v>2</v>
      </c>
      <c r="B446" s="230"/>
      <c r="C446" s="230"/>
      <c r="D446" s="230"/>
      <c r="E446" s="230"/>
      <c r="F446" s="219" t="s">
        <v>73</v>
      </c>
      <c r="G446" s="220"/>
      <c r="H446" s="221"/>
      <c r="I446" s="222"/>
      <c r="J446" s="229"/>
      <c r="K446" s="43"/>
      <c r="L446" s="240">
        <f>SUM(S446:S467)</f>
        <v>7.5710148935040138</v>
      </c>
      <c r="M446" s="43" t="s">
        <v>120</v>
      </c>
      <c r="N446" s="14">
        <v>400</v>
      </c>
      <c r="O446" s="35">
        <v>12.505406830647299</v>
      </c>
      <c r="P446" s="35"/>
      <c r="Q446" s="35"/>
      <c r="R446" s="35">
        <f t="shared" si="54"/>
        <v>12.505406830647299</v>
      </c>
      <c r="S446" s="2">
        <f t="shared" si="53"/>
        <v>3.398208377893288E-2</v>
      </c>
    </row>
    <row r="447" spans="1:19" x14ac:dyDescent="0.25">
      <c r="A447" s="230"/>
      <c r="B447" s="230"/>
      <c r="C447" s="230"/>
      <c r="D447" s="230"/>
      <c r="E447" s="230"/>
      <c r="F447" s="221"/>
      <c r="G447" s="222"/>
      <c r="H447" s="221"/>
      <c r="I447" s="222"/>
      <c r="J447" s="230"/>
      <c r="K447" s="43"/>
      <c r="L447" s="241"/>
      <c r="M447" s="43" t="s">
        <v>1024</v>
      </c>
      <c r="N447" s="14">
        <v>250</v>
      </c>
      <c r="O447" s="35">
        <v>0.65817930687617299</v>
      </c>
      <c r="P447" s="35"/>
      <c r="Q447" s="35"/>
      <c r="R447" s="35">
        <f t="shared" si="54"/>
        <v>0.65817930687617299</v>
      </c>
      <c r="S447" s="2">
        <f t="shared" si="53"/>
        <v>2.8616491603311871E-3</v>
      </c>
    </row>
    <row r="448" spans="1:19" x14ac:dyDescent="0.25">
      <c r="A448" s="230"/>
      <c r="B448" s="230"/>
      <c r="C448" s="230"/>
      <c r="D448" s="230"/>
      <c r="E448" s="230"/>
      <c r="F448" s="221"/>
      <c r="G448" s="222"/>
      <c r="H448" s="221"/>
      <c r="I448" s="222"/>
      <c r="J448" s="230"/>
      <c r="K448" s="43"/>
      <c r="L448" s="241"/>
      <c r="M448" s="43" t="s">
        <v>122</v>
      </c>
      <c r="N448" s="14">
        <v>400</v>
      </c>
      <c r="O448" s="35">
        <v>82.9305926663978</v>
      </c>
      <c r="P448" s="35"/>
      <c r="Q448" s="35"/>
      <c r="R448" s="35">
        <f t="shared" si="54"/>
        <v>82.9305926663978</v>
      </c>
      <c r="S448" s="2">
        <f t="shared" si="53"/>
        <v>0.22535487137608098</v>
      </c>
    </row>
    <row r="449" spans="1:19" x14ac:dyDescent="0.25">
      <c r="A449" s="230"/>
      <c r="B449" s="230"/>
      <c r="C449" s="230"/>
      <c r="D449" s="230"/>
      <c r="E449" s="230"/>
      <c r="F449" s="221"/>
      <c r="G449" s="222"/>
      <c r="H449" s="221"/>
      <c r="I449" s="222"/>
      <c r="J449" s="230"/>
      <c r="K449" s="43"/>
      <c r="L449" s="241"/>
      <c r="M449" s="43" t="s">
        <v>123</v>
      </c>
      <c r="N449" s="14">
        <v>250</v>
      </c>
      <c r="O449" s="35">
        <v>52.654344550093903</v>
      </c>
      <c r="P449" s="35"/>
      <c r="Q449" s="35">
        <f>5</f>
        <v>5</v>
      </c>
      <c r="R449" s="35">
        <f t="shared" si="54"/>
        <v>57.654344550093903</v>
      </c>
      <c r="S449" s="2">
        <f t="shared" si="53"/>
        <v>0.25067106326127786</v>
      </c>
    </row>
    <row r="450" spans="1:19" ht="31.5" x14ac:dyDescent="0.25">
      <c r="A450" s="230"/>
      <c r="B450" s="230"/>
      <c r="C450" s="230"/>
      <c r="D450" s="230"/>
      <c r="E450" s="230"/>
      <c r="F450" s="221"/>
      <c r="G450" s="222"/>
      <c r="H450" s="221"/>
      <c r="I450" s="222"/>
      <c r="J450" s="230"/>
      <c r="K450" s="43"/>
      <c r="L450" s="241"/>
      <c r="M450" s="43" t="s">
        <v>301</v>
      </c>
      <c r="N450" s="1">
        <f>2*630</f>
        <v>1260</v>
      </c>
      <c r="O450" s="35">
        <v>275.77712958111698</v>
      </c>
      <c r="P450" s="35"/>
      <c r="Q450" s="35"/>
      <c r="R450" s="35">
        <f t="shared" si="54"/>
        <v>275.77712958111698</v>
      </c>
      <c r="S450" s="2">
        <f t="shared" si="53"/>
        <v>0.23790297582912093</v>
      </c>
    </row>
    <row r="451" spans="1:19" x14ac:dyDescent="0.25">
      <c r="A451" s="230"/>
      <c r="B451" s="230"/>
      <c r="C451" s="230"/>
      <c r="D451" s="230"/>
      <c r="E451" s="230"/>
      <c r="F451" s="221"/>
      <c r="G451" s="222"/>
      <c r="H451" s="221"/>
      <c r="I451" s="222"/>
      <c r="J451" s="230"/>
      <c r="K451" s="43"/>
      <c r="L451" s="241"/>
      <c r="M451" s="43" t="s">
        <v>124</v>
      </c>
      <c r="N451" s="14">
        <v>250</v>
      </c>
      <c r="O451" s="35">
        <v>165.20300602591999</v>
      </c>
      <c r="P451" s="35"/>
      <c r="Q451" s="35">
        <f>6+6</f>
        <v>12</v>
      </c>
      <c r="R451" s="35">
        <f t="shared" si="54"/>
        <v>177.20300602591999</v>
      </c>
      <c r="S451" s="2">
        <f t="shared" si="53"/>
        <v>0.77044785228660861</v>
      </c>
    </row>
    <row r="452" spans="1:19" x14ac:dyDescent="0.25">
      <c r="A452" s="230"/>
      <c r="B452" s="230"/>
      <c r="C452" s="230"/>
      <c r="D452" s="230"/>
      <c r="E452" s="230"/>
      <c r="F452" s="221"/>
      <c r="G452" s="222"/>
      <c r="H452" s="221"/>
      <c r="I452" s="222"/>
      <c r="J452" s="230"/>
      <c r="K452" s="43"/>
      <c r="L452" s="241"/>
      <c r="M452" s="43" t="s">
        <v>125</v>
      </c>
      <c r="N452" s="14">
        <v>160</v>
      </c>
      <c r="O452" s="35">
        <v>115.839558010207</v>
      </c>
      <c r="P452" s="35"/>
      <c r="Q452" s="35"/>
      <c r="R452" s="35">
        <f t="shared" si="54"/>
        <v>115.839558010207</v>
      </c>
      <c r="S452" s="2">
        <f t="shared" si="53"/>
        <v>0.78695351909108002</v>
      </c>
    </row>
    <row r="453" spans="1:19" x14ac:dyDescent="0.25">
      <c r="A453" s="230"/>
      <c r="B453" s="230"/>
      <c r="C453" s="230"/>
      <c r="D453" s="230"/>
      <c r="E453" s="230"/>
      <c r="F453" s="221"/>
      <c r="G453" s="222"/>
      <c r="H453" s="221"/>
      <c r="I453" s="222"/>
      <c r="J453" s="230"/>
      <c r="K453" s="43"/>
      <c r="L453" s="241"/>
      <c r="M453" s="43" t="s">
        <v>1025</v>
      </c>
      <c r="N453" s="14">
        <v>250</v>
      </c>
      <c r="O453" s="35">
        <v>38.174399798818101</v>
      </c>
      <c r="P453" s="35"/>
      <c r="Q453" s="35"/>
      <c r="R453" s="35">
        <f t="shared" si="54"/>
        <v>38.174399798818101</v>
      </c>
      <c r="S453" s="2">
        <f t="shared" si="53"/>
        <v>0.16597565129920913</v>
      </c>
    </row>
    <row r="454" spans="1:19" x14ac:dyDescent="0.25">
      <c r="A454" s="230"/>
      <c r="B454" s="230"/>
      <c r="C454" s="230"/>
      <c r="D454" s="230"/>
      <c r="E454" s="230"/>
      <c r="F454" s="221"/>
      <c r="G454" s="222"/>
      <c r="H454" s="221"/>
      <c r="I454" s="222"/>
      <c r="J454" s="230"/>
      <c r="K454" s="43"/>
      <c r="L454" s="241"/>
      <c r="M454" s="43" t="s">
        <v>172</v>
      </c>
      <c r="N454" s="14">
        <v>250</v>
      </c>
      <c r="O454" s="35">
        <v>95.435999497045103</v>
      </c>
      <c r="P454" s="35"/>
      <c r="Q454" s="35"/>
      <c r="R454" s="35">
        <f t="shared" si="54"/>
        <v>95.435999497045103</v>
      </c>
      <c r="S454" s="2">
        <f t="shared" si="53"/>
        <v>0.4149391282480222</v>
      </c>
    </row>
    <row r="455" spans="1:19" x14ac:dyDescent="0.25">
      <c r="A455" s="230"/>
      <c r="B455" s="230"/>
      <c r="C455" s="230"/>
      <c r="D455" s="230"/>
      <c r="E455" s="230"/>
      <c r="F455" s="221"/>
      <c r="G455" s="222"/>
      <c r="H455" s="221"/>
      <c r="I455" s="222"/>
      <c r="J455" s="230"/>
      <c r="K455" s="43"/>
      <c r="L455" s="241"/>
      <c r="M455" s="43" t="s">
        <v>1026</v>
      </c>
      <c r="N455" s="14">
        <v>400</v>
      </c>
      <c r="O455" s="35">
        <v>254.05721245420301</v>
      </c>
      <c r="P455" s="35"/>
      <c r="Q455" s="35"/>
      <c r="R455" s="35">
        <f t="shared" si="54"/>
        <v>254.05721245420301</v>
      </c>
      <c r="S455" s="2">
        <f t="shared" si="53"/>
        <v>0.6903728599298995</v>
      </c>
    </row>
    <row r="456" spans="1:19" x14ac:dyDescent="0.25">
      <c r="A456" s="230"/>
      <c r="B456" s="230"/>
      <c r="C456" s="230"/>
      <c r="D456" s="230"/>
      <c r="E456" s="230"/>
      <c r="F456" s="221"/>
      <c r="G456" s="222"/>
      <c r="H456" s="221"/>
      <c r="I456" s="222"/>
      <c r="J456" s="230"/>
      <c r="K456" s="43"/>
      <c r="L456" s="241"/>
      <c r="M456" s="43" t="s">
        <v>1027</v>
      </c>
      <c r="N456" s="14">
        <v>100</v>
      </c>
      <c r="O456" s="35">
        <v>56.646675036528997</v>
      </c>
      <c r="P456" s="35"/>
      <c r="Q456" s="35"/>
      <c r="R456" s="35">
        <f t="shared" si="54"/>
        <v>56.646675036528997</v>
      </c>
      <c r="S456" s="2">
        <f t="shared" si="53"/>
        <v>0.61572472865792383</v>
      </c>
    </row>
    <row r="457" spans="1:19" x14ac:dyDescent="0.25">
      <c r="A457" s="230"/>
      <c r="B457" s="230"/>
      <c r="C457" s="230"/>
      <c r="D457" s="230"/>
      <c r="E457" s="230"/>
      <c r="F457" s="221"/>
      <c r="G457" s="222"/>
      <c r="H457" s="221"/>
      <c r="I457" s="222"/>
      <c r="J457" s="230"/>
      <c r="K457" s="43"/>
      <c r="L457" s="241"/>
      <c r="M457" s="43" t="s">
        <v>1028</v>
      </c>
      <c r="N457" s="14">
        <v>250</v>
      </c>
      <c r="O457" s="35">
        <v>81.6142340526455</v>
      </c>
      <c r="P457" s="35"/>
      <c r="Q457" s="35"/>
      <c r="R457" s="35">
        <f t="shared" si="54"/>
        <v>81.6142340526455</v>
      </c>
      <c r="S457" s="2">
        <f t="shared" si="53"/>
        <v>0.35484449588106737</v>
      </c>
    </row>
    <row r="458" spans="1:19" x14ac:dyDescent="0.25">
      <c r="A458" s="230"/>
      <c r="B458" s="230"/>
      <c r="C458" s="230"/>
      <c r="D458" s="230"/>
      <c r="E458" s="230"/>
      <c r="F458" s="221"/>
      <c r="G458" s="222"/>
      <c r="H458" s="221"/>
      <c r="I458" s="222"/>
      <c r="J458" s="230"/>
      <c r="K458" s="43"/>
      <c r="L458" s="241"/>
      <c r="M458" s="43" t="s">
        <v>1029</v>
      </c>
      <c r="N458" s="14">
        <v>100</v>
      </c>
      <c r="O458" s="35">
        <v>22.378096433789899</v>
      </c>
      <c r="P458" s="35"/>
      <c r="Q458" s="35"/>
      <c r="R458" s="35">
        <f t="shared" si="54"/>
        <v>22.378096433789899</v>
      </c>
      <c r="S458" s="2">
        <f t="shared" si="53"/>
        <v>0.24324017862815109</v>
      </c>
    </row>
    <row r="459" spans="1:19" x14ac:dyDescent="0.25">
      <c r="A459" s="230"/>
      <c r="B459" s="230"/>
      <c r="C459" s="230"/>
      <c r="D459" s="230"/>
      <c r="E459" s="230"/>
      <c r="F459" s="221"/>
      <c r="G459" s="222"/>
      <c r="H459" s="221"/>
      <c r="I459" s="222"/>
      <c r="J459" s="230"/>
      <c r="K459" s="43"/>
      <c r="L459" s="241"/>
      <c r="M459" s="43" t="s">
        <v>1030</v>
      </c>
      <c r="N459" s="14">
        <v>100</v>
      </c>
      <c r="O459" s="35">
        <v>31.5926067300563</v>
      </c>
      <c r="P459" s="35"/>
      <c r="Q459" s="35">
        <f>11+11</f>
        <v>22</v>
      </c>
      <c r="R459" s="35">
        <f t="shared" si="54"/>
        <v>53.592606730056303</v>
      </c>
      <c r="S459" s="2">
        <f t="shared" si="53"/>
        <v>0.58252833402235116</v>
      </c>
    </row>
    <row r="460" spans="1:19" x14ac:dyDescent="0.25">
      <c r="A460" s="230"/>
      <c r="B460" s="230"/>
      <c r="C460" s="230"/>
      <c r="D460" s="230"/>
      <c r="E460" s="230"/>
      <c r="F460" s="221"/>
      <c r="G460" s="222"/>
      <c r="H460" s="221"/>
      <c r="I460" s="222"/>
      <c r="J460" s="230"/>
      <c r="K460" s="43"/>
      <c r="L460" s="241"/>
      <c r="M460" s="43" t="s">
        <v>1031</v>
      </c>
      <c r="N460" s="14">
        <v>160</v>
      </c>
      <c r="O460" s="35">
        <v>7.8981516825140803</v>
      </c>
      <c r="P460" s="35"/>
      <c r="Q460" s="35">
        <f>11+11+15+15</f>
        <v>52</v>
      </c>
      <c r="R460" s="35">
        <f t="shared" si="54"/>
        <v>59.898151682514083</v>
      </c>
      <c r="S460" s="2">
        <f t="shared" si="53"/>
        <v>0.40691679132142716</v>
      </c>
    </row>
    <row r="461" spans="1:19" x14ac:dyDescent="0.25">
      <c r="A461" s="230"/>
      <c r="B461" s="230"/>
      <c r="C461" s="230"/>
      <c r="D461" s="230"/>
      <c r="E461" s="230"/>
      <c r="F461" s="221"/>
      <c r="G461" s="222"/>
      <c r="H461" s="221"/>
      <c r="I461" s="222"/>
      <c r="J461" s="230"/>
      <c r="K461" s="43"/>
      <c r="L461" s="241"/>
      <c r="M461" s="43" t="s">
        <v>1032</v>
      </c>
      <c r="N461" s="14">
        <v>160</v>
      </c>
      <c r="O461" s="35">
        <v>6.5817930687617299</v>
      </c>
      <c r="P461" s="35"/>
      <c r="Q461" s="35"/>
      <c r="R461" s="35">
        <f t="shared" si="54"/>
        <v>6.5817930687617299</v>
      </c>
      <c r="S461" s="2">
        <f t="shared" si="53"/>
        <v>4.4713268130174788E-2</v>
      </c>
    </row>
    <row r="462" spans="1:19" x14ac:dyDescent="0.25">
      <c r="A462" s="230"/>
      <c r="B462" s="230"/>
      <c r="C462" s="230"/>
      <c r="D462" s="230"/>
      <c r="E462" s="230"/>
      <c r="F462" s="221"/>
      <c r="G462" s="222"/>
      <c r="H462" s="221"/>
      <c r="I462" s="222"/>
      <c r="J462" s="230"/>
      <c r="K462" s="43"/>
      <c r="L462" s="241"/>
      <c r="M462" s="43" t="s">
        <v>313</v>
      </c>
      <c r="N462" s="14">
        <v>400</v>
      </c>
      <c r="O462" s="35">
        <v>60.552496232608</v>
      </c>
      <c r="P462" s="35"/>
      <c r="Q462" s="35"/>
      <c r="R462" s="35">
        <f t="shared" si="54"/>
        <v>60.552496232608</v>
      </c>
      <c r="S462" s="2">
        <f t="shared" si="53"/>
        <v>0.16454482671904347</v>
      </c>
    </row>
    <row r="463" spans="1:19" x14ac:dyDescent="0.25">
      <c r="A463" s="230"/>
      <c r="B463" s="230"/>
      <c r="C463" s="230"/>
      <c r="D463" s="230"/>
      <c r="E463" s="230"/>
      <c r="F463" s="221"/>
      <c r="G463" s="222"/>
      <c r="H463" s="221"/>
      <c r="I463" s="222"/>
      <c r="J463" s="230"/>
      <c r="K463" s="43"/>
      <c r="L463" s="241"/>
      <c r="M463" s="43" t="s">
        <v>1033</v>
      </c>
      <c r="N463" s="14">
        <v>250</v>
      </c>
      <c r="O463" s="35">
        <v>31.5926067300563</v>
      </c>
      <c r="P463" s="35"/>
      <c r="Q463" s="35"/>
      <c r="R463" s="35">
        <f t="shared" si="54"/>
        <v>31.5926067300563</v>
      </c>
      <c r="S463" s="2">
        <f t="shared" si="53"/>
        <v>0.13735915969589696</v>
      </c>
    </row>
    <row r="464" spans="1:19" x14ac:dyDescent="0.25">
      <c r="A464" s="230"/>
      <c r="B464" s="230"/>
      <c r="C464" s="230"/>
      <c r="D464" s="230"/>
      <c r="E464" s="230"/>
      <c r="F464" s="221"/>
      <c r="G464" s="222"/>
      <c r="H464" s="221"/>
      <c r="I464" s="222"/>
      <c r="J464" s="230"/>
      <c r="K464" s="43"/>
      <c r="L464" s="241"/>
      <c r="M464" s="43" t="s">
        <v>1034</v>
      </c>
      <c r="N464" s="14">
        <v>160</v>
      </c>
      <c r="O464" s="35">
        <v>122.421351078968</v>
      </c>
      <c r="P464" s="35"/>
      <c r="Q464" s="35"/>
      <c r="R464" s="35">
        <f t="shared" si="54"/>
        <v>122.421351078968</v>
      </c>
      <c r="S464" s="2">
        <f t="shared" si="53"/>
        <v>0.83166678722124987</v>
      </c>
    </row>
    <row r="465" spans="1:19" x14ac:dyDescent="0.25">
      <c r="A465" s="230"/>
      <c r="B465" s="230"/>
      <c r="C465" s="230"/>
      <c r="D465" s="230"/>
      <c r="E465" s="230"/>
      <c r="F465" s="221"/>
      <c r="G465" s="222"/>
      <c r="H465" s="221"/>
      <c r="I465" s="222"/>
      <c r="J465" s="230"/>
      <c r="K465" s="43"/>
      <c r="L465" s="241"/>
      <c r="M465" s="43" t="s">
        <v>1035</v>
      </c>
      <c r="N465" s="14">
        <v>16</v>
      </c>
      <c r="O465" s="35">
        <v>3.9490758412570401</v>
      </c>
      <c r="P465" s="35"/>
      <c r="Q465" s="35">
        <f>2.64</f>
        <v>2.64</v>
      </c>
      <c r="R465" s="35">
        <f t="shared" si="54"/>
        <v>6.5890758412570403</v>
      </c>
      <c r="S465" s="2">
        <f t="shared" si="53"/>
        <v>0.44762743486800544</v>
      </c>
    </row>
    <row r="466" spans="1:19" ht="31.5" x14ac:dyDescent="0.25">
      <c r="A466" s="230"/>
      <c r="B466" s="230"/>
      <c r="C466" s="230"/>
      <c r="D466" s="230"/>
      <c r="E466" s="230"/>
      <c r="F466" s="221"/>
      <c r="G466" s="222"/>
      <c r="H466" s="221"/>
      <c r="I466" s="222"/>
      <c r="J466" s="230"/>
      <c r="K466" s="43"/>
      <c r="L466" s="241"/>
      <c r="M466" s="43" t="s">
        <v>358</v>
      </c>
      <c r="N466" s="1">
        <f t="shared" ref="N466:N467" si="56">2*630</f>
        <v>1260</v>
      </c>
      <c r="O466" s="35">
        <v>179.024771470319</v>
      </c>
      <c r="P466" s="35"/>
      <c r="Q466" s="35"/>
      <c r="R466" s="35">
        <f t="shared" si="54"/>
        <v>179.024771470319</v>
      </c>
      <c r="S466" s="2">
        <f t="shared" si="53"/>
        <v>0.15443820865279415</v>
      </c>
    </row>
    <row r="467" spans="1:19" ht="31.5" x14ac:dyDescent="0.25">
      <c r="A467" s="231"/>
      <c r="B467" s="230"/>
      <c r="C467" s="230"/>
      <c r="D467" s="230"/>
      <c r="E467" s="230"/>
      <c r="F467" s="223"/>
      <c r="G467" s="224"/>
      <c r="H467" s="221"/>
      <c r="I467" s="222"/>
      <c r="J467" s="231"/>
      <c r="K467" s="43"/>
      <c r="L467" s="242"/>
      <c r="M467" s="43" t="s">
        <v>359</v>
      </c>
      <c r="N467" s="1">
        <f t="shared" si="56"/>
        <v>1260</v>
      </c>
      <c r="O467" s="35">
        <v>9.2145102962664307</v>
      </c>
      <c r="P467" s="35"/>
      <c r="Q467" s="35"/>
      <c r="R467" s="35">
        <f t="shared" si="54"/>
        <v>9.2145102962664307</v>
      </c>
      <c r="S467" s="2">
        <f t="shared" si="53"/>
        <v>7.9490254453644157E-3</v>
      </c>
    </row>
    <row r="468" spans="1:19" ht="31.5" x14ac:dyDescent="0.25">
      <c r="A468" s="229">
        <v>3</v>
      </c>
      <c r="B468" s="230"/>
      <c r="C468" s="230"/>
      <c r="D468" s="230"/>
      <c r="E468" s="230"/>
      <c r="F468" s="219" t="s">
        <v>74</v>
      </c>
      <c r="G468" s="220"/>
      <c r="H468" s="221"/>
      <c r="I468" s="222"/>
      <c r="J468" s="229"/>
      <c r="K468" s="43"/>
      <c r="L468" s="240" t="e">
        <f>SUM(S468:S477)</f>
        <v>#DIV/0!</v>
      </c>
      <c r="M468" s="43" t="s">
        <v>417</v>
      </c>
      <c r="N468" s="14"/>
      <c r="O468" s="35">
        <v>141.508550978377</v>
      </c>
      <c r="P468" s="35"/>
      <c r="Q468" s="35"/>
      <c r="R468" s="35">
        <f t="shared" si="54"/>
        <v>141.508550978377</v>
      </c>
      <c r="S468" s="2" t="e">
        <f t="shared" si="53"/>
        <v>#DIV/0!</v>
      </c>
    </row>
    <row r="469" spans="1:19" x14ac:dyDescent="0.25">
      <c r="A469" s="230"/>
      <c r="B469" s="230"/>
      <c r="C469" s="230"/>
      <c r="D469" s="230"/>
      <c r="E469" s="230"/>
      <c r="F469" s="221"/>
      <c r="G469" s="222"/>
      <c r="H469" s="221"/>
      <c r="I469" s="222"/>
      <c r="J469" s="230"/>
      <c r="K469" s="43"/>
      <c r="L469" s="241"/>
      <c r="M469" s="43" t="s">
        <v>126</v>
      </c>
      <c r="N469" s="14">
        <v>400</v>
      </c>
      <c r="O469" s="35">
        <v>67.134289301369705</v>
      </c>
      <c r="P469" s="35"/>
      <c r="Q469" s="35"/>
      <c r="R469" s="35">
        <f t="shared" si="54"/>
        <v>67.134289301369705</v>
      </c>
      <c r="S469" s="2">
        <f t="shared" si="53"/>
        <v>0.18243013397111332</v>
      </c>
    </row>
    <row r="470" spans="1:19" x14ac:dyDescent="0.25">
      <c r="A470" s="230"/>
      <c r="B470" s="230"/>
      <c r="C470" s="230"/>
      <c r="D470" s="230"/>
      <c r="E470" s="230"/>
      <c r="F470" s="221"/>
      <c r="G470" s="222"/>
      <c r="H470" s="221"/>
      <c r="I470" s="222"/>
      <c r="J470" s="230"/>
      <c r="K470" s="43"/>
      <c r="L470" s="241"/>
      <c r="M470" s="43" t="s">
        <v>127</v>
      </c>
      <c r="N470" s="14">
        <v>250</v>
      </c>
      <c r="O470" s="35">
        <v>42.781654946951299</v>
      </c>
      <c r="P470" s="35"/>
      <c r="Q470" s="35"/>
      <c r="R470" s="35">
        <f t="shared" si="54"/>
        <v>42.781654946951299</v>
      </c>
      <c r="S470" s="2">
        <f t="shared" si="53"/>
        <v>0.18600719542152738</v>
      </c>
    </row>
    <row r="471" spans="1:19" x14ac:dyDescent="0.25">
      <c r="A471" s="230"/>
      <c r="B471" s="230"/>
      <c r="C471" s="230"/>
      <c r="D471" s="230"/>
      <c r="E471" s="230"/>
      <c r="F471" s="221"/>
      <c r="G471" s="222"/>
      <c r="H471" s="221"/>
      <c r="I471" s="222"/>
      <c r="J471" s="230"/>
      <c r="K471" s="43"/>
      <c r="L471" s="241"/>
      <c r="M471" s="43" t="s">
        <v>128</v>
      </c>
      <c r="N471" s="14">
        <v>250</v>
      </c>
      <c r="O471" s="35">
        <v>138.217654443996</v>
      </c>
      <c r="P471" s="35"/>
      <c r="Q471" s="35"/>
      <c r="R471" s="35">
        <f t="shared" si="54"/>
        <v>138.217654443996</v>
      </c>
      <c r="S471" s="2">
        <f t="shared" si="53"/>
        <v>0.60094632366954781</v>
      </c>
    </row>
    <row r="472" spans="1:19" x14ac:dyDescent="0.25">
      <c r="A472" s="230"/>
      <c r="B472" s="230"/>
      <c r="C472" s="230"/>
      <c r="D472" s="230"/>
      <c r="E472" s="230"/>
      <c r="F472" s="221"/>
      <c r="G472" s="222"/>
      <c r="H472" s="221"/>
      <c r="I472" s="222"/>
      <c r="J472" s="230"/>
      <c r="K472" s="43"/>
      <c r="L472" s="241"/>
      <c r="M472" s="43" t="s">
        <v>131</v>
      </c>
      <c r="N472" s="14">
        <v>630</v>
      </c>
      <c r="O472" s="35">
        <v>167.83572325342399</v>
      </c>
      <c r="P472" s="35"/>
      <c r="Q472" s="35">
        <f>2</f>
        <v>2</v>
      </c>
      <c r="R472" s="35">
        <f t="shared" si="54"/>
        <v>169.83572325342399</v>
      </c>
      <c r="S472" s="2">
        <f t="shared" si="53"/>
        <v>0.29302229684855763</v>
      </c>
    </row>
    <row r="473" spans="1:19" x14ac:dyDescent="0.25">
      <c r="A473" s="230"/>
      <c r="B473" s="230"/>
      <c r="C473" s="230"/>
      <c r="D473" s="230"/>
      <c r="E473" s="230"/>
      <c r="F473" s="221"/>
      <c r="G473" s="222"/>
      <c r="H473" s="221"/>
      <c r="I473" s="222"/>
      <c r="J473" s="230"/>
      <c r="K473" s="43"/>
      <c r="L473" s="241"/>
      <c r="M473" s="43" t="s">
        <v>132</v>
      </c>
      <c r="N473" s="14">
        <v>400</v>
      </c>
      <c r="O473" s="35">
        <v>141.508550978377</v>
      </c>
      <c r="P473" s="35"/>
      <c r="Q473" s="35"/>
      <c r="R473" s="35">
        <f t="shared" si="54"/>
        <v>141.508550978377</v>
      </c>
      <c r="S473" s="2">
        <f t="shared" si="53"/>
        <v>0.38453410591950271</v>
      </c>
    </row>
    <row r="474" spans="1:19" x14ac:dyDescent="0.25">
      <c r="A474" s="230"/>
      <c r="B474" s="230"/>
      <c r="C474" s="230"/>
      <c r="D474" s="230"/>
      <c r="E474" s="230"/>
      <c r="F474" s="221"/>
      <c r="G474" s="222"/>
      <c r="H474" s="221"/>
      <c r="I474" s="222"/>
      <c r="J474" s="230"/>
      <c r="K474" s="43"/>
      <c r="L474" s="241"/>
      <c r="M474" s="43" t="s">
        <v>133</v>
      </c>
      <c r="N474" s="14">
        <v>400</v>
      </c>
      <c r="O474" s="35">
        <v>98.726896031425994</v>
      </c>
      <c r="P474" s="35"/>
      <c r="Q474" s="35"/>
      <c r="R474" s="35">
        <f t="shared" si="54"/>
        <v>98.726896031425994</v>
      </c>
      <c r="S474" s="2">
        <f t="shared" si="53"/>
        <v>0.26827960878104889</v>
      </c>
    </row>
    <row r="475" spans="1:19" x14ac:dyDescent="0.25">
      <c r="A475" s="230"/>
      <c r="B475" s="230"/>
      <c r="C475" s="230"/>
      <c r="D475" s="230"/>
      <c r="E475" s="230"/>
      <c r="F475" s="221"/>
      <c r="G475" s="222"/>
      <c r="H475" s="221"/>
      <c r="I475" s="222"/>
      <c r="J475" s="230"/>
      <c r="K475" s="43"/>
      <c r="L475" s="241"/>
      <c r="M475" s="43" t="s">
        <v>310</v>
      </c>
      <c r="N475" s="86">
        <f t="shared" ref="N475:N477" si="57">2*400</f>
        <v>800</v>
      </c>
      <c r="O475" s="35">
        <v>258.664467602336</v>
      </c>
      <c r="P475" s="35"/>
      <c r="Q475" s="35">
        <f>3+7+3+2</f>
        <v>15</v>
      </c>
      <c r="R475" s="35">
        <f t="shared" si="54"/>
        <v>273.664467602336</v>
      </c>
      <c r="S475" s="2">
        <f t="shared" si="53"/>
        <v>0.37182672228578262</v>
      </c>
    </row>
    <row r="476" spans="1:19" x14ac:dyDescent="0.25">
      <c r="A476" s="230"/>
      <c r="B476" s="230"/>
      <c r="C476" s="230"/>
      <c r="D476" s="230"/>
      <c r="E476" s="230"/>
      <c r="F476" s="221"/>
      <c r="G476" s="222"/>
      <c r="H476" s="221"/>
      <c r="I476" s="222"/>
      <c r="J476" s="230"/>
      <c r="K476" s="43"/>
      <c r="L476" s="241"/>
      <c r="M476" s="43" t="s">
        <v>344</v>
      </c>
      <c r="N476" s="86">
        <f t="shared" si="57"/>
        <v>800</v>
      </c>
      <c r="O476" s="35">
        <v>141.508550978377</v>
      </c>
      <c r="P476" s="35"/>
      <c r="Q476" s="35"/>
      <c r="R476" s="35">
        <f t="shared" si="54"/>
        <v>141.508550978377</v>
      </c>
      <c r="S476" s="2">
        <f t="shared" si="53"/>
        <v>0.19226705295975136</v>
      </c>
    </row>
    <row r="477" spans="1:19" x14ac:dyDescent="0.25">
      <c r="A477" s="231"/>
      <c r="B477" s="230"/>
      <c r="C477" s="230"/>
      <c r="D477" s="230"/>
      <c r="E477" s="230"/>
      <c r="F477" s="223"/>
      <c r="G477" s="224"/>
      <c r="H477" s="221"/>
      <c r="I477" s="222"/>
      <c r="J477" s="231"/>
      <c r="K477" s="43"/>
      <c r="L477" s="242"/>
      <c r="M477" s="43" t="s">
        <v>355</v>
      </c>
      <c r="N477" s="86">
        <f t="shared" si="57"/>
        <v>800</v>
      </c>
      <c r="O477" s="35">
        <v>10.5308689100188</v>
      </c>
      <c r="P477" s="35"/>
      <c r="Q477" s="35"/>
      <c r="R477" s="35">
        <f t="shared" si="54"/>
        <v>10.5308689100188</v>
      </c>
      <c r="S477" s="2">
        <f t="shared" si="53"/>
        <v>1.4308245801655978E-2</v>
      </c>
    </row>
    <row r="478" spans="1:19" x14ac:dyDescent="0.25">
      <c r="A478" s="229">
        <v>4</v>
      </c>
      <c r="B478" s="230"/>
      <c r="C478" s="230"/>
      <c r="D478" s="230"/>
      <c r="E478" s="230"/>
      <c r="F478" s="219" t="s">
        <v>75</v>
      </c>
      <c r="G478" s="220"/>
      <c r="H478" s="221"/>
      <c r="I478" s="222"/>
      <c r="J478" s="229"/>
      <c r="K478" s="43"/>
      <c r="L478" s="240">
        <f>SUM(S478:S487)</f>
        <v>2.0780292419304112</v>
      </c>
      <c r="M478" s="43" t="s">
        <v>136</v>
      </c>
      <c r="N478" s="14">
        <v>400</v>
      </c>
      <c r="O478" s="35">
        <v>89.512385735159597</v>
      </c>
      <c r="P478" s="35"/>
      <c r="Q478" s="35"/>
      <c r="R478" s="35">
        <f t="shared" si="54"/>
        <v>89.512385735159597</v>
      </c>
      <c r="S478" s="2">
        <f t="shared" si="53"/>
        <v>0.24324017862815109</v>
      </c>
    </row>
    <row r="479" spans="1:19" x14ac:dyDescent="0.25">
      <c r="A479" s="230"/>
      <c r="B479" s="230"/>
      <c r="C479" s="230"/>
      <c r="D479" s="230"/>
      <c r="E479" s="230"/>
      <c r="F479" s="221"/>
      <c r="G479" s="222"/>
      <c r="H479" s="221"/>
      <c r="I479" s="222"/>
      <c r="J479" s="230"/>
      <c r="K479" s="43"/>
      <c r="L479" s="241"/>
      <c r="M479" s="43" t="s">
        <v>137</v>
      </c>
      <c r="N479" s="14">
        <v>400</v>
      </c>
      <c r="O479" s="35">
        <v>57.919779005103301</v>
      </c>
      <c r="P479" s="35"/>
      <c r="Q479" s="35"/>
      <c r="R479" s="35">
        <f t="shared" si="54"/>
        <v>57.919779005103301</v>
      </c>
      <c r="S479" s="2">
        <f t="shared" si="53"/>
        <v>0.15739070381821549</v>
      </c>
    </row>
    <row r="480" spans="1:19" x14ac:dyDescent="0.25">
      <c r="A480" s="230"/>
      <c r="B480" s="230"/>
      <c r="C480" s="230"/>
      <c r="D480" s="230"/>
      <c r="E480" s="230"/>
      <c r="F480" s="221"/>
      <c r="G480" s="222"/>
      <c r="H480" s="221"/>
      <c r="I480" s="222"/>
      <c r="J480" s="230"/>
      <c r="K480" s="43"/>
      <c r="L480" s="241"/>
      <c r="M480" s="43" t="s">
        <v>411</v>
      </c>
      <c r="N480" s="14">
        <v>250</v>
      </c>
      <c r="O480" s="35">
        <v>30.9344274231801</v>
      </c>
      <c r="P480" s="35"/>
      <c r="Q480" s="35"/>
      <c r="R480" s="35">
        <f t="shared" si="54"/>
        <v>30.9344274231801</v>
      </c>
      <c r="S480" s="2">
        <f t="shared" si="53"/>
        <v>0.13449751053556566</v>
      </c>
    </row>
    <row r="481" spans="1:19" x14ac:dyDescent="0.25">
      <c r="A481" s="230"/>
      <c r="B481" s="230"/>
      <c r="C481" s="230"/>
      <c r="D481" s="230"/>
      <c r="E481" s="230"/>
      <c r="F481" s="221"/>
      <c r="G481" s="222"/>
      <c r="H481" s="221"/>
      <c r="I481" s="222"/>
      <c r="J481" s="230"/>
      <c r="K481" s="43"/>
      <c r="L481" s="241"/>
      <c r="M481" s="43" t="s">
        <v>138</v>
      </c>
      <c r="N481" s="14">
        <v>250</v>
      </c>
      <c r="O481" s="35">
        <v>55.945241084474702</v>
      </c>
      <c r="P481" s="35"/>
      <c r="Q481" s="35">
        <f>15</f>
        <v>15</v>
      </c>
      <c r="R481" s="35">
        <f t="shared" si="54"/>
        <v>70.945241084474702</v>
      </c>
      <c r="S481" s="2">
        <f t="shared" si="53"/>
        <v>0.30845756993249873</v>
      </c>
    </row>
    <row r="482" spans="1:19" x14ac:dyDescent="0.25">
      <c r="A482" s="230"/>
      <c r="B482" s="230"/>
      <c r="C482" s="230"/>
      <c r="D482" s="230"/>
      <c r="E482" s="230"/>
      <c r="F482" s="221"/>
      <c r="G482" s="222"/>
      <c r="H482" s="221"/>
      <c r="I482" s="222"/>
      <c r="J482" s="230"/>
      <c r="K482" s="43"/>
      <c r="L482" s="241"/>
      <c r="M482" s="43" t="s">
        <v>298</v>
      </c>
      <c r="N482" s="1">
        <f t="shared" ref="N482:N483" si="58">2*630</f>
        <v>1260</v>
      </c>
      <c r="O482" s="35">
        <v>298.81340532178302</v>
      </c>
      <c r="P482" s="35"/>
      <c r="Q482" s="35"/>
      <c r="R482" s="35">
        <f t="shared" si="54"/>
        <v>298.81340532178302</v>
      </c>
      <c r="S482" s="2">
        <f t="shared" si="53"/>
        <v>0.25777553944253195</v>
      </c>
    </row>
    <row r="483" spans="1:19" x14ac:dyDescent="0.25">
      <c r="A483" s="230"/>
      <c r="B483" s="230"/>
      <c r="C483" s="230"/>
      <c r="D483" s="230"/>
      <c r="E483" s="230"/>
      <c r="F483" s="221"/>
      <c r="G483" s="222"/>
      <c r="H483" s="221"/>
      <c r="I483" s="222"/>
      <c r="J483" s="230"/>
      <c r="K483" s="43"/>
      <c r="L483" s="241"/>
      <c r="M483" s="43" t="s">
        <v>116</v>
      </c>
      <c r="N483" s="1">
        <f t="shared" si="58"/>
        <v>1260</v>
      </c>
      <c r="O483" s="35">
        <v>51.337985936341497</v>
      </c>
      <c r="P483" s="35"/>
      <c r="Q483" s="35"/>
      <c r="R483" s="35">
        <f t="shared" si="54"/>
        <v>51.337985936341497</v>
      </c>
      <c r="S483" s="2">
        <f t="shared" si="53"/>
        <v>4.4287427481315991E-2</v>
      </c>
    </row>
    <row r="484" spans="1:19" x14ac:dyDescent="0.25">
      <c r="A484" s="230"/>
      <c r="B484" s="230"/>
      <c r="C484" s="230"/>
      <c r="D484" s="230"/>
      <c r="E484" s="230"/>
      <c r="F484" s="221"/>
      <c r="G484" s="222"/>
      <c r="H484" s="221"/>
      <c r="I484" s="222"/>
      <c r="J484" s="230"/>
      <c r="K484" s="43"/>
      <c r="L484" s="241"/>
      <c r="M484" s="43" t="s">
        <v>309</v>
      </c>
      <c r="N484" s="86">
        <f>2*400</f>
        <v>800</v>
      </c>
      <c r="O484" s="35">
        <v>258.664467602336</v>
      </c>
      <c r="P484" s="35"/>
      <c r="Q484" s="35">
        <f>3</f>
        <v>3</v>
      </c>
      <c r="R484" s="35">
        <f t="shared" si="54"/>
        <v>261.664467602336</v>
      </c>
      <c r="S484" s="2">
        <f t="shared" si="53"/>
        <v>0.35552237445969564</v>
      </c>
    </row>
    <row r="485" spans="1:19" x14ac:dyDescent="0.25">
      <c r="A485" s="230"/>
      <c r="B485" s="230"/>
      <c r="C485" s="230"/>
      <c r="D485" s="230"/>
      <c r="E485" s="230"/>
      <c r="F485" s="221"/>
      <c r="G485" s="222"/>
      <c r="H485" s="221"/>
      <c r="I485" s="222"/>
      <c r="J485" s="230"/>
      <c r="K485" s="43"/>
      <c r="L485" s="241"/>
      <c r="M485" s="43" t="s">
        <v>336</v>
      </c>
      <c r="N485" s="1">
        <f>2*630</f>
        <v>1260</v>
      </c>
      <c r="O485" s="35">
        <v>140.19219236462499</v>
      </c>
      <c r="P485" s="35"/>
      <c r="Q485" s="35"/>
      <c r="R485" s="35">
        <f t="shared" si="54"/>
        <v>140.19219236462499</v>
      </c>
      <c r="S485" s="2">
        <f t="shared" si="53"/>
        <v>0.12093874427590147</v>
      </c>
    </row>
    <row r="486" spans="1:19" x14ac:dyDescent="0.25">
      <c r="A486" s="230"/>
      <c r="B486" s="230"/>
      <c r="C486" s="230"/>
      <c r="D486" s="230"/>
      <c r="E486" s="230"/>
      <c r="F486" s="221"/>
      <c r="G486" s="222"/>
      <c r="H486" s="221"/>
      <c r="I486" s="222"/>
      <c r="J486" s="230"/>
      <c r="K486" s="43"/>
      <c r="L486" s="241"/>
      <c r="M486" s="43" t="s">
        <v>1019</v>
      </c>
      <c r="N486" s="86">
        <f>2*400</f>
        <v>800</v>
      </c>
      <c r="O486" s="35">
        <v>258.664467602336</v>
      </c>
      <c r="P486" s="35"/>
      <c r="Q486" s="35"/>
      <c r="R486" s="35">
        <f t="shared" si="54"/>
        <v>258.664467602336</v>
      </c>
      <c r="S486" s="2">
        <f t="shared" si="53"/>
        <v>0.35144628750317392</v>
      </c>
    </row>
    <row r="487" spans="1:19" x14ac:dyDescent="0.25">
      <c r="A487" s="231"/>
      <c r="B487" s="230"/>
      <c r="C487" s="230"/>
      <c r="D487" s="230"/>
      <c r="E487" s="230"/>
      <c r="F487" s="223"/>
      <c r="G487" s="224"/>
      <c r="H487" s="221"/>
      <c r="I487" s="222"/>
      <c r="J487" s="231"/>
      <c r="K487" s="43"/>
      <c r="L487" s="242"/>
      <c r="M487" s="43" t="s">
        <v>347</v>
      </c>
      <c r="N487" s="1">
        <f>2*630</f>
        <v>1260</v>
      </c>
      <c r="O487" s="35">
        <v>121.104992465216</v>
      </c>
      <c r="P487" s="35"/>
      <c r="Q487" s="35"/>
      <c r="R487" s="35">
        <f t="shared" si="54"/>
        <v>121.104992465216</v>
      </c>
      <c r="S487" s="2">
        <f t="shared" si="53"/>
        <v>0.10447290585336093</v>
      </c>
    </row>
    <row r="488" spans="1:19" x14ac:dyDescent="0.25">
      <c r="A488" s="229">
        <f>A478+1</f>
        <v>5</v>
      </c>
      <c r="B488" s="230"/>
      <c r="C488" s="230"/>
      <c r="D488" s="230"/>
      <c r="E488" s="230"/>
      <c r="F488" s="219" t="s">
        <v>76</v>
      </c>
      <c r="G488" s="220"/>
      <c r="H488" s="221"/>
      <c r="I488" s="222"/>
      <c r="J488" s="229"/>
      <c r="K488" s="43"/>
      <c r="L488" s="240">
        <f>SUM(S488:S501)</f>
        <v>3.6813728065902276</v>
      </c>
      <c r="M488" s="43" t="s">
        <v>293</v>
      </c>
      <c r="N488" s="86">
        <f>2*400</f>
        <v>800</v>
      </c>
      <c r="O488" s="35">
        <v>62.527034153236499</v>
      </c>
      <c r="P488" s="35"/>
      <c r="Q488" s="35"/>
      <c r="R488" s="35">
        <f t="shared" si="54"/>
        <v>62.527034153236499</v>
      </c>
      <c r="S488" s="2">
        <f t="shared" si="53"/>
        <v>8.4955209447332203E-2</v>
      </c>
    </row>
    <row r="489" spans="1:19" x14ac:dyDescent="0.25">
      <c r="A489" s="230"/>
      <c r="B489" s="230"/>
      <c r="C489" s="230"/>
      <c r="D489" s="230"/>
      <c r="E489" s="230"/>
      <c r="F489" s="221"/>
      <c r="G489" s="222"/>
      <c r="H489" s="221"/>
      <c r="I489" s="222"/>
      <c r="J489" s="230"/>
      <c r="K489" s="43"/>
      <c r="L489" s="241"/>
      <c r="M489" s="43" t="s">
        <v>139</v>
      </c>
      <c r="N489" s="14">
        <v>250</v>
      </c>
      <c r="O489" s="35">
        <v>43.439834253827399</v>
      </c>
      <c r="P489" s="35"/>
      <c r="Q489" s="35"/>
      <c r="R489" s="35">
        <f t="shared" si="54"/>
        <v>43.439834253827399</v>
      </c>
      <c r="S489" s="2">
        <f t="shared" si="53"/>
        <v>0.18886884458185826</v>
      </c>
    </row>
    <row r="490" spans="1:19" x14ac:dyDescent="0.25">
      <c r="A490" s="230"/>
      <c r="B490" s="230"/>
      <c r="C490" s="230"/>
      <c r="D490" s="230"/>
      <c r="E490" s="230"/>
      <c r="F490" s="221"/>
      <c r="G490" s="222"/>
      <c r="H490" s="221"/>
      <c r="I490" s="222"/>
      <c r="J490" s="230"/>
      <c r="K490" s="43"/>
      <c r="L490" s="241"/>
      <c r="M490" s="43" t="s">
        <v>302</v>
      </c>
      <c r="N490" s="1">
        <f t="shared" ref="N490:N491" si="59">2*630</f>
        <v>1260</v>
      </c>
      <c r="O490" s="35">
        <v>167.83572325342399</v>
      </c>
      <c r="P490" s="35"/>
      <c r="Q490" s="35"/>
      <c r="R490" s="35">
        <f t="shared" si="54"/>
        <v>167.83572325342399</v>
      </c>
      <c r="S490" s="2">
        <f t="shared" si="53"/>
        <v>0.14478582061199446</v>
      </c>
    </row>
    <row r="491" spans="1:19" x14ac:dyDescent="0.25">
      <c r="A491" s="230"/>
      <c r="B491" s="230"/>
      <c r="C491" s="230"/>
      <c r="D491" s="230"/>
      <c r="E491" s="230"/>
      <c r="F491" s="221"/>
      <c r="G491" s="222"/>
      <c r="H491" s="221"/>
      <c r="I491" s="222"/>
      <c r="J491" s="230"/>
      <c r="K491" s="43"/>
      <c r="L491" s="241"/>
      <c r="M491" s="43" t="s">
        <v>303</v>
      </c>
      <c r="N491" s="1">
        <f t="shared" si="59"/>
        <v>1260</v>
      </c>
      <c r="O491" s="35">
        <v>0.65817930687617299</v>
      </c>
      <c r="P491" s="35"/>
      <c r="Q491" s="35"/>
      <c r="R491" s="35">
        <f t="shared" si="54"/>
        <v>0.65817930687617299</v>
      </c>
      <c r="S491" s="2">
        <f t="shared" si="53"/>
        <v>5.6778753181174345E-4</v>
      </c>
    </row>
    <row r="492" spans="1:19" x14ac:dyDescent="0.25">
      <c r="A492" s="230"/>
      <c r="B492" s="230"/>
      <c r="C492" s="230"/>
      <c r="D492" s="230"/>
      <c r="E492" s="230"/>
      <c r="F492" s="221"/>
      <c r="G492" s="222"/>
      <c r="H492" s="221"/>
      <c r="I492" s="222"/>
      <c r="J492" s="230"/>
      <c r="K492" s="43"/>
      <c r="L492" s="241"/>
      <c r="M492" s="43" t="s">
        <v>314</v>
      </c>
      <c r="N492" s="14">
        <f>630+400</f>
        <v>1030</v>
      </c>
      <c r="O492" s="35">
        <v>0.65817930687617299</v>
      </c>
      <c r="P492" s="35"/>
      <c r="Q492" s="35"/>
      <c r="R492" s="35">
        <f t="shared" si="54"/>
        <v>0.65817930687617299</v>
      </c>
      <c r="S492" s="2">
        <f t="shared" si="53"/>
        <v>6.9457503891533657E-4</v>
      </c>
    </row>
    <row r="493" spans="1:19" x14ac:dyDescent="0.25">
      <c r="A493" s="230"/>
      <c r="B493" s="230"/>
      <c r="C493" s="230"/>
      <c r="D493" s="230"/>
      <c r="E493" s="230"/>
      <c r="F493" s="221"/>
      <c r="G493" s="222"/>
      <c r="H493" s="221"/>
      <c r="I493" s="222"/>
      <c r="J493" s="230"/>
      <c r="K493" s="43"/>
      <c r="L493" s="241"/>
      <c r="M493" s="43" t="s">
        <v>167</v>
      </c>
      <c r="N493" s="14">
        <v>400</v>
      </c>
      <c r="O493" s="35">
        <v>93.461461576416596</v>
      </c>
      <c r="P493" s="35"/>
      <c r="Q493" s="35"/>
      <c r="R493" s="35">
        <f t="shared" si="54"/>
        <v>93.461461576416596</v>
      </c>
      <c r="S493" s="2">
        <f t="shared" ref="S493:S519" si="60">R493/(N493*0.92)</f>
        <v>0.25397136297939293</v>
      </c>
    </row>
    <row r="494" spans="1:19" x14ac:dyDescent="0.25">
      <c r="A494" s="230"/>
      <c r="B494" s="230"/>
      <c r="C494" s="230"/>
      <c r="D494" s="230"/>
      <c r="E494" s="230"/>
      <c r="F494" s="221"/>
      <c r="G494" s="222"/>
      <c r="H494" s="221"/>
      <c r="I494" s="222"/>
      <c r="J494" s="230"/>
      <c r="K494" s="43"/>
      <c r="L494" s="241"/>
      <c r="M494" s="43" t="s">
        <v>121</v>
      </c>
      <c r="N494" s="14">
        <v>160</v>
      </c>
      <c r="O494" s="35">
        <v>216</v>
      </c>
      <c r="P494" s="35"/>
      <c r="Q494" s="35"/>
      <c r="R494" s="35">
        <f t="shared" ref="R494:R557" si="61">O494+P494+Q494</f>
        <v>216</v>
      </c>
      <c r="S494" s="2">
        <f t="shared" si="60"/>
        <v>1.4673913043478259</v>
      </c>
    </row>
    <row r="495" spans="1:19" x14ac:dyDescent="0.25">
      <c r="A495" s="230"/>
      <c r="B495" s="230"/>
      <c r="C495" s="230"/>
      <c r="D495" s="230"/>
      <c r="E495" s="230"/>
      <c r="F495" s="221"/>
      <c r="G495" s="222"/>
      <c r="H495" s="221"/>
      <c r="I495" s="222"/>
      <c r="J495" s="230"/>
      <c r="K495" s="43"/>
      <c r="L495" s="241"/>
      <c r="M495" s="43" t="s">
        <v>167</v>
      </c>
      <c r="N495" s="14">
        <v>630</v>
      </c>
      <c r="O495" s="35">
        <v>113.865020089578</v>
      </c>
      <c r="P495" s="35"/>
      <c r="Q495" s="35"/>
      <c r="R495" s="35">
        <f t="shared" si="61"/>
        <v>113.865020089578</v>
      </c>
      <c r="S495" s="2">
        <f t="shared" si="60"/>
        <v>0.19645448600686333</v>
      </c>
    </row>
    <row r="496" spans="1:19" x14ac:dyDescent="0.25">
      <c r="A496" s="230"/>
      <c r="B496" s="230"/>
      <c r="C496" s="230"/>
      <c r="D496" s="230"/>
      <c r="E496" s="230"/>
      <c r="F496" s="221"/>
      <c r="G496" s="222"/>
      <c r="H496" s="221"/>
      <c r="I496" s="222"/>
      <c r="J496" s="230"/>
      <c r="K496" s="43"/>
      <c r="L496" s="241"/>
      <c r="M496" s="43" t="s">
        <v>171</v>
      </c>
      <c r="N496" s="14">
        <v>250</v>
      </c>
      <c r="O496" s="35">
        <v>7.8981516825140803</v>
      </c>
      <c r="P496" s="35"/>
      <c r="Q496" s="35"/>
      <c r="R496" s="35">
        <f t="shared" si="61"/>
        <v>7.8981516825140803</v>
      </c>
      <c r="S496" s="2">
        <f t="shared" si="60"/>
        <v>3.4339789923974261E-2</v>
      </c>
    </row>
    <row r="497" spans="1:19" x14ac:dyDescent="0.25">
      <c r="A497" s="230"/>
      <c r="B497" s="230"/>
      <c r="C497" s="230"/>
      <c r="D497" s="230"/>
      <c r="E497" s="230"/>
      <c r="F497" s="221"/>
      <c r="G497" s="222"/>
      <c r="H497" s="221"/>
      <c r="I497" s="222"/>
      <c r="J497" s="230"/>
      <c r="K497" s="43"/>
      <c r="L497" s="241"/>
      <c r="M497" s="43" t="s">
        <v>1028</v>
      </c>
      <c r="N497" s="1">
        <f t="shared" ref="N497:N499" si="62">2*630</f>
        <v>1260</v>
      </c>
      <c r="O497" s="35">
        <v>202.06104721098501</v>
      </c>
      <c r="P497" s="35"/>
      <c r="Q497" s="35"/>
      <c r="R497" s="35">
        <f t="shared" si="61"/>
        <v>202.06104721098501</v>
      </c>
      <c r="S497" s="2">
        <f t="shared" si="60"/>
        <v>0.17431077226620514</v>
      </c>
    </row>
    <row r="498" spans="1:19" x14ac:dyDescent="0.25">
      <c r="A498" s="230"/>
      <c r="B498" s="230"/>
      <c r="C498" s="230"/>
      <c r="D498" s="230"/>
      <c r="E498" s="230"/>
      <c r="F498" s="221"/>
      <c r="G498" s="222"/>
      <c r="H498" s="221"/>
      <c r="I498" s="222"/>
      <c r="J498" s="230"/>
      <c r="K498" s="43"/>
      <c r="L498" s="241"/>
      <c r="M498" s="43" t="s">
        <v>357</v>
      </c>
      <c r="N498" s="1">
        <f t="shared" si="62"/>
        <v>1260</v>
      </c>
      <c r="O498" s="35">
        <v>94.119640883292803</v>
      </c>
      <c r="P498" s="35"/>
      <c r="Q498" s="35"/>
      <c r="R498" s="35">
        <f t="shared" si="61"/>
        <v>94.119640883292803</v>
      </c>
      <c r="S498" s="2">
        <f t="shared" si="60"/>
        <v>8.1193617049079361E-2</v>
      </c>
    </row>
    <row r="499" spans="1:19" x14ac:dyDescent="0.25">
      <c r="A499" s="230"/>
      <c r="B499" s="230"/>
      <c r="C499" s="230"/>
      <c r="D499" s="230"/>
      <c r="E499" s="230"/>
      <c r="F499" s="221"/>
      <c r="G499" s="222"/>
      <c r="H499" s="221"/>
      <c r="I499" s="222"/>
      <c r="J499" s="230"/>
      <c r="K499" s="43"/>
      <c r="L499" s="241"/>
      <c r="M499" s="43" t="s">
        <v>360</v>
      </c>
      <c r="N499" s="1">
        <f t="shared" si="62"/>
        <v>1260</v>
      </c>
      <c r="O499" s="35">
        <v>12.505406830647299</v>
      </c>
      <c r="P499" s="35"/>
      <c r="Q499" s="35">
        <f>110</f>
        <v>110</v>
      </c>
      <c r="R499" s="35">
        <f t="shared" si="61"/>
        <v>122.5054068306473</v>
      </c>
      <c r="S499" s="2">
        <f t="shared" si="60"/>
        <v>0.1056809927800615</v>
      </c>
    </row>
    <row r="500" spans="1:19" x14ac:dyDescent="0.25">
      <c r="A500" s="230"/>
      <c r="B500" s="230"/>
      <c r="C500" s="230"/>
      <c r="D500" s="230"/>
      <c r="E500" s="230"/>
      <c r="F500" s="221"/>
      <c r="G500" s="222"/>
      <c r="H500" s="221"/>
      <c r="I500" s="222"/>
      <c r="J500" s="230"/>
      <c r="K500" s="43"/>
      <c r="L500" s="241"/>
      <c r="M500" s="43" t="s">
        <v>376</v>
      </c>
      <c r="N500" s="14">
        <v>100</v>
      </c>
      <c r="O500" s="35">
        <v>36.21</v>
      </c>
      <c r="P500" s="35"/>
      <c r="Q500" s="35"/>
      <c r="R500" s="35">
        <f t="shared" si="61"/>
        <v>36.21</v>
      </c>
      <c r="S500" s="2">
        <f t="shared" si="60"/>
        <v>0.39358695652173914</v>
      </c>
    </row>
    <row r="501" spans="1:19" x14ac:dyDescent="0.25">
      <c r="A501" s="231"/>
      <c r="B501" s="230"/>
      <c r="C501" s="230"/>
      <c r="D501" s="230"/>
      <c r="E501" s="230"/>
      <c r="F501" s="223"/>
      <c r="G501" s="224"/>
      <c r="H501" s="221"/>
      <c r="I501" s="222"/>
      <c r="J501" s="231"/>
      <c r="K501" s="43"/>
      <c r="L501" s="242"/>
      <c r="M501" s="43" t="s">
        <v>380</v>
      </c>
      <c r="N501" s="86">
        <f>2*400</f>
        <v>800</v>
      </c>
      <c r="O501" s="35">
        <v>258.664467602336</v>
      </c>
      <c r="P501" s="35"/>
      <c r="Q501" s="35">
        <v>149.5</v>
      </c>
      <c r="R501" s="35">
        <f t="shared" si="61"/>
        <v>408.164467602336</v>
      </c>
      <c r="S501" s="2">
        <f t="shared" si="60"/>
        <v>0.55457128750317397</v>
      </c>
    </row>
    <row r="502" spans="1:19" x14ac:dyDescent="0.25">
      <c r="A502" s="229">
        <f>A488+1</f>
        <v>6</v>
      </c>
      <c r="B502" s="230"/>
      <c r="C502" s="230"/>
      <c r="D502" s="230"/>
      <c r="E502" s="230"/>
      <c r="F502" s="219" t="s">
        <v>77</v>
      </c>
      <c r="G502" s="220"/>
      <c r="H502" s="221"/>
      <c r="I502" s="222"/>
      <c r="J502" s="229"/>
      <c r="K502" s="43"/>
      <c r="L502" s="240">
        <f>SUM(S502:S543)</f>
        <v>11.702202244931895</v>
      </c>
      <c r="M502" s="43" t="s">
        <v>140</v>
      </c>
      <c r="N502" s="14">
        <v>400</v>
      </c>
      <c r="O502" s="35">
        <v>130.319502761482</v>
      </c>
      <c r="P502" s="35"/>
      <c r="Q502" s="35">
        <f>15</f>
        <v>15</v>
      </c>
      <c r="R502" s="35">
        <f t="shared" si="61"/>
        <v>145.319502761482</v>
      </c>
      <c r="S502" s="2">
        <f t="shared" si="60"/>
        <v>0.39488995315620107</v>
      </c>
    </row>
    <row r="503" spans="1:19" x14ac:dyDescent="0.25">
      <c r="A503" s="230"/>
      <c r="B503" s="230"/>
      <c r="C503" s="230"/>
      <c r="D503" s="230"/>
      <c r="E503" s="230"/>
      <c r="F503" s="221"/>
      <c r="G503" s="222"/>
      <c r="H503" s="221"/>
      <c r="I503" s="222"/>
      <c r="J503" s="230"/>
      <c r="K503" s="43"/>
      <c r="L503" s="241"/>
      <c r="M503" s="43" t="s">
        <v>141</v>
      </c>
      <c r="N503" s="14">
        <v>160</v>
      </c>
      <c r="O503" s="35">
        <v>115.839558010207</v>
      </c>
      <c r="P503" s="35"/>
      <c r="Q503" s="35"/>
      <c r="R503" s="35">
        <f t="shared" si="61"/>
        <v>115.839558010207</v>
      </c>
      <c r="S503" s="2">
        <f t="shared" si="60"/>
        <v>0.78695351909108002</v>
      </c>
    </row>
    <row r="504" spans="1:19" x14ac:dyDescent="0.25">
      <c r="A504" s="230"/>
      <c r="B504" s="230"/>
      <c r="C504" s="230"/>
      <c r="D504" s="230"/>
      <c r="E504" s="230"/>
      <c r="F504" s="221"/>
      <c r="G504" s="222"/>
      <c r="H504" s="221"/>
      <c r="I504" s="222"/>
      <c r="J504" s="230"/>
      <c r="K504" s="43"/>
      <c r="L504" s="241"/>
      <c r="M504" s="43" t="s">
        <v>142</v>
      </c>
      <c r="N504" s="14">
        <v>250</v>
      </c>
      <c r="O504" s="35">
        <v>110.574123555197</v>
      </c>
      <c r="P504" s="35"/>
      <c r="Q504" s="35"/>
      <c r="R504" s="35">
        <f t="shared" si="61"/>
        <v>110.574123555197</v>
      </c>
      <c r="S504" s="2">
        <f t="shared" si="60"/>
        <v>0.48075705893563914</v>
      </c>
    </row>
    <row r="505" spans="1:19" x14ac:dyDescent="0.25">
      <c r="A505" s="230"/>
      <c r="B505" s="230"/>
      <c r="C505" s="230"/>
      <c r="D505" s="230"/>
      <c r="E505" s="230"/>
      <c r="F505" s="221"/>
      <c r="G505" s="222"/>
      <c r="H505" s="221"/>
      <c r="I505" s="222"/>
      <c r="J505" s="230"/>
      <c r="K505" s="43"/>
      <c r="L505" s="241"/>
      <c r="M505" s="43" t="s">
        <v>143</v>
      </c>
      <c r="N505" s="14">
        <v>160</v>
      </c>
      <c r="O505" s="35">
        <v>1.9745379206285201</v>
      </c>
      <c r="P505" s="35"/>
      <c r="Q505" s="35"/>
      <c r="R505" s="35">
        <f t="shared" si="61"/>
        <v>1.9745379206285201</v>
      </c>
      <c r="S505" s="2">
        <f t="shared" si="60"/>
        <v>1.3413980439052444E-2</v>
      </c>
    </row>
    <row r="506" spans="1:19" x14ac:dyDescent="0.25">
      <c r="A506" s="230"/>
      <c r="B506" s="230"/>
      <c r="C506" s="230"/>
      <c r="D506" s="230"/>
      <c r="E506" s="230"/>
      <c r="F506" s="221"/>
      <c r="G506" s="222"/>
      <c r="H506" s="221"/>
      <c r="I506" s="222"/>
      <c r="J506" s="230"/>
      <c r="K506" s="43"/>
      <c r="L506" s="241"/>
      <c r="M506" s="43" t="s">
        <v>315</v>
      </c>
      <c r="N506" s="86">
        <f>2*400</f>
        <v>800</v>
      </c>
      <c r="O506" s="35">
        <v>96.752358110797502</v>
      </c>
      <c r="P506" s="35"/>
      <c r="Q506" s="35"/>
      <c r="R506" s="35">
        <f t="shared" si="61"/>
        <v>96.752358110797502</v>
      </c>
      <c r="S506" s="2">
        <f t="shared" si="60"/>
        <v>0.13145700830271401</v>
      </c>
    </row>
    <row r="507" spans="1:19" x14ac:dyDescent="0.25">
      <c r="A507" s="230"/>
      <c r="B507" s="230"/>
      <c r="C507" s="230"/>
      <c r="D507" s="230"/>
      <c r="E507" s="230"/>
      <c r="F507" s="221"/>
      <c r="G507" s="222"/>
      <c r="H507" s="221"/>
      <c r="I507" s="222"/>
      <c r="J507" s="230"/>
      <c r="K507" s="43"/>
      <c r="L507" s="241"/>
      <c r="M507" s="43" t="s">
        <v>317</v>
      </c>
      <c r="N507" s="14">
        <v>250</v>
      </c>
      <c r="O507" s="35">
        <v>34.883503264437202</v>
      </c>
      <c r="P507" s="35"/>
      <c r="Q507" s="35"/>
      <c r="R507" s="35">
        <f t="shared" si="61"/>
        <v>34.883503264437202</v>
      </c>
      <c r="S507" s="2">
        <f t="shared" si="60"/>
        <v>0.15166740549755306</v>
      </c>
    </row>
    <row r="508" spans="1:19" x14ac:dyDescent="0.25">
      <c r="A508" s="230"/>
      <c r="B508" s="230"/>
      <c r="C508" s="230"/>
      <c r="D508" s="230"/>
      <c r="E508" s="230"/>
      <c r="F508" s="221"/>
      <c r="G508" s="222"/>
      <c r="H508" s="221"/>
      <c r="I508" s="222"/>
      <c r="J508" s="230"/>
      <c r="K508" s="43"/>
      <c r="L508" s="241"/>
      <c r="M508" s="43" t="s">
        <v>319</v>
      </c>
      <c r="N508" s="14">
        <v>160</v>
      </c>
      <c r="O508" s="35">
        <v>24.11</v>
      </c>
      <c r="P508" s="35"/>
      <c r="Q508" s="35"/>
      <c r="R508" s="35">
        <f t="shared" si="61"/>
        <v>24.11</v>
      </c>
      <c r="S508" s="2">
        <f t="shared" si="60"/>
        <v>0.16379076086956521</v>
      </c>
    </row>
    <row r="509" spans="1:19" x14ac:dyDescent="0.25">
      <c r="A509" s="230"/>
      <c r="B509" s="230"/>
      <c r="C509" s="230"/>
      <c r="D509" s="230"/>
      <c r="E509" s="230"/>
      <c r="F509" s="221"/>
      <c r="G509" s="222"/>
      <c r="H509" s="221"/>
      <c r="I509" s="222"/>
      <c r="J509" s="230"/>
      <c r="K509" s="43"/>
      <c r="L509" s="241"/>
      <c r="M509" s="43" t="s">
        <v>318</v>
      </c>
      <c r="N509" s="14">
        <v>400</v>
      </c>
      <c r="O509" s="35">
        <v>27.643530888799301</v>
      </c>
      <c r="P509" s="35"/>
      <c r="Q509" s="35"/>
      <c r="R509" s="35">
        <f t="shared" si="61"/>
        <v>27.643530888799301</v>
      </c>
      <c r="S509" s="2">
        <f t="shared" si="60"/>
        <v>7.5118290458693754E-2</v>
      </c>
    </row>
    <row r="510" spans="1:19" x14ac:dyDescent="0.25">
      <c r="A510" s="230"/>
      <c r="B510" s="230"/>
      <c r="C510" s="230"/>
      <c r="D510" s="230"/>
      <c r="E510" s="230"/>
      <c r="F510" s="221"/>
      <c r="G510" s="222"/>
      <c r="H510" s="221"/>
      <c r="I510" s="222"/>
      <c r="J510" s="230"/>
      <c r="K510" s="43"/>
      <c r="L510" s="241"/>
      <c r="M510" s="43" t="s">
        <v>168</v>
      </c>
      <c r="N510" s="14">
        <v>400</v>
      </c>
      <c r="O510" s="35">
        <v>77.665158211388402</v>
      </c>
      <c r="P510" s="35"/>
      <c r="Q510" s="35"/>
      <c r="R510" s="35">
        <f t="shared" si="61"/>
        <v>77.665158211388402</v>
      </c>
      <c r="S510" s="2">
        <f t="shared" si="60"/>
        <v>0.211046625574425</v>
      </c>
    </row>
    <row r="511" spans="1:19" x14ac:dyDescent="0.25">
      <c r="A511" s="230"/>
      <c r="B511" s="230"/>
      <c r="C511" s="230"/>
      <c r="D511" s="230"/>
      <c r="E511" s="230"/>
      <c r="F511" s="221"/>
      <c r="G511" s="222"/>
      <c r="H511" s="221"/>
      <c r="I511" s="222"/>
      <c r="J511" s="230"/>
      <c r="K511" s="43"/>
      <c r="L511" s="241"/>
      <c r="M511" s="43" t="s">
        <v>174</v>
      </c>
      <c r="N511" s="14">
        <v>400</v>
      </c>
      <c r="O511" s="35">
        <v>90.170565042035705</v>
      </c>
      <c r="P511" s="35"/>
      <c r="Q511" s="35"/>
      <c r="R511" s="35">
        <f t="shared" si="61"/>
        <v>90.170565042035705</v>
      </c>
      <c r="S511" s="2">
        <f t="shared" si="60"/>
        <v>0.24502870935335788</v>
      </c>
    </row>
    <row r="512" spans="1:19" x14ac:dyDescent="0.25">
      <c r="A512" s="230"/>
      <c r="B512" s="230"/>
      <c r="C512" s="230"/>
      <c r="D512" s="230"/>
      <c r="E512" s="230"/>
      <c r="F512" s="221"/>
      <c r="G512" s="222"/>
      <c r="H512" s="221"/>
      <c r="I512" s="222"/>
      <c r="J512" s="230"/>
      <c r="K512" s="43"/>
      <c r="L512" s="241"/>
      <c r="M512" s="43" t="s">
        <v>1036</v>
      </c>
      <c r="N512" s="14">
        <v>250</v>
      </c>
      <c r="O512" s="35">
        <v>328.7</v>
      </c>
      <c r="P512" s="35"/>
      <c r="Q512" s="35">
        <f>15+7+7+15+4</f>
        <v>48</v>
      </c>
      <c r="R512" s="35">
        <f t="shared" si="61"/>
        <v>376.7</v>
      </c>
      <c r="S512" s="2">
        <f t="shared" si="60"/>
        <v>1.6378260869565218</v>
      </c>
    </row>
    <row r="513" spans="1:19" x14ac:dyDescent="0.25">
      <c r="A513" s="230"/>
      <c r="B513" s="230"/>
      <c r="C513" s="230"/>
      <c r="D513" s="230"/>
      <c r="E513" s="230"/>
      <c r="F513" s="221"/>
      <c r="G513" s="222"/>
      <c r="H513" s="221"/>
      <c r="I513" s="222"/>
      <c r="J513" s="230"/>
      <c r="K513" s="43"/>
      <c r="L513" s="241"/>
      <c r="M513" s="43" t="s">
        <v>176</v>
      </c>
      <c r="N513" s="14">
        <v>250</v>
      </c>
      <c r="O513" s="35">
        <v>46.730730788208298</v>
      </c>
      <c r="P513" s="35"/>
      <c r="Q513" s="35"/>
      <c r="R513" s="35">
        <f t="shared" si="61"/>
        <v>46.730730788208298</v>
      </c>
      <c r="S513" s="2">
        <f t="shared" si="60"/>
        <v>0.20317709038351434</v>
      </c>
    </row>
    <row r="514" spans="1:19" x14ac:dyDescent="0.25">
      <c r="A514" s="230"/>
      <c r="B514" s="230"/>
      <c r="C514" s="230"/>
      <c r="D514" s="230"/>
      <c r="E514" s="230"/>
      <c r="F514" s="221"/>
      <c r="G514" s="222"/>
      <c r="H514" s="221"/>
      <c r="I514" s="222"/>
      <c r="J514" s="230"/>
      <c r="K514" s="43"/>
      <c r="L514" s="241"/>
      <c r="M514" s="43" t="s">
        <v>177</v>
      </c>
      <c r="N514" s="14">
        <v>250</v>
      </c>
      <c r="O514" s="35">
        <v>66.476109994493498</v>
      </c>
      <c r="P514" s="35"/>
      <c r="Q514" s="35"/>
      <c r="R514" s="35">
        <f t="shared" si="61"/>
        <v>66.476109994493498</v>
      </c>
      <c r="S514" s="2">
        <f t="shared" si="60"/>
        <v>0.28902656519344999</v>
      </c>
    </row>
    <row r="515" spans="1:19" x14ac:dyDescent="0.25">
      <c r="A515" s="230"/>
      <c r="B515" s="230"/>
      <c r="C515" s="230"/>
      <c r="D515" s="230"/>
      <c r="E515" s="230"/>
      <c r="F515" s="221"/>
      <c r="G515" s="222"/>
      <c r="H515" s="221"/>
      <c r="I515" s="222"/>
      <c r="J515" s="230"/>
      <c r="K515" s="43"/>
      <c r="L515" s="241"/>
      <c r="M515" s="43" t="s">
        <v>178</v>
      </c>
      <c r="N515" s="14">
        <v>250</v>
      </c>
      <c r="O515" s="35">
        <v>50.021627322589197</v>
      </c>
      <c r="P515" s="35"/>
      <c r="Q515" s="35"/>
      <c r="R515" s="35">
        <f t="shared" si="61"/>
        <v>50.021627322589197</v>
      </c>
      <c r="S515" s="2">
        <f t="shared" si="60"/>
        <v>0.21748533618517041</v>
      </c>
    </row>
    <row r="516" spans="1:19" x14ac:dyDescent="0.25">
      <c r="A516" s="230"/>
      <c r="B516" s="230"/>
      <c r="C516" s="230"/>
      <c r="D516" s="230"/>
      <c r="E516" s="230"/>
      <c r="F516" s="221"/>
      <c r="G516" s="222"/>
      <c r="H516" s="221"/>
      <c r="I516" s="222"/>
      <c r="J516" s="230"/>
      <c r="K516" s="43"/>
      <c r="L516" s="241"/>
      <c r="M516" s="43" t="s">
        <v>180</v>
      </c>
      <c r="N516" s="14">
        <v>400</v>
      </c>
      <c r="O516" s="35">
        <v>62.527034153236499</v>
      </c>
      <c r="P516" s="35"/>
      <c r="Q516" s="35"/>
      <c r="R516" s="35">
        <f t="shared" si="61"/>
        <v>62.527034153236499</v>
      </c>
      <c r="S516" s="2">
        <f t="shared" si="60"/>
        <v>0.16991041889466441</v>
      </c>
    </row>
    <row r="517" spans="1:19" x14ac:dyDescent="0.25">
      <c r="A517" s="230"/>
      <c r="B517" s="230"/>
      <c r="C517" s="230"/>
      <c r="D517" s="230"/>
      <c r="E517" s="230"/>
      <c r="F517" s="221"/>
      <c r="G517" s="222"/>
      <c r="H517" s="221"/>
      <c r="I517" s="222"/>
      <c r="J517" s="230"/>
      <c r="K517" s="43"/>
      <c r="L517" s="241"/>
      <c r="M517" s="43" t="s">
        <v>181</v>
      </c>
      <c r="N517" s="14">
        <v>160</v>
      </c>
      <c r="O517" s="35">
        <v>12.505406830647299</v>
      </c>
      <c r="P517" s="35"/>
      <c r="Q517" s="35"/>
      <c r="R517" s="35">
        <f t="shared" si="61"/>
        <v>12.505406830647299</v>
      </c>
      <c r="S517" s="2">
        <f t="shared" si="60"/>
        <v>8.4955209447332189E-2</v>
      </c>
    </row>
    <row r="518" spans="1:19" x14ac:dyDescent="0.25">
      <c r="A518" s="230"/>
      <c r="B518" s="230"/>
      <c r="C518" s="230"/>
      <c r="D518" s="230"/>
      <c r="E518" s="230"/>
      <c r="F518" s="221"/>
      <c r="G518" s="222"/>
      <c r="H518" s="221"/>
      <c r="I518" s="222"/>
      <c r="J518" s="230"/>
      <c r="K518" s="43"/>
      <c r="L518" s="241"/>
      <c r="M518" s="43" t="s">
        <v>182</v>
      </c>
      <c r="N518" s="14">
        <v>400</v>
      </c>
      <c r="O518" s="35">
        <v>72.399723756379103</v>
      </c>
      <c r="P518" s="35"/>
      <c r="Q518" s="35"/>
      <c r="R518" s="35">
        <f t="shared" si="61"/>
        <v>72.399723756379103</v>
      </c>
      <c r="S518" s="2">
        <f t="shared" si="60"/>
        <v>0.19673837977276931</v>
      </c>
    </row>
    <row r="519" spans="1:19" x14ac:dyDescent="0.25">
      <c r="A519" s="230"/>
      <c r="B519" s="230"/>
      <c r="C519" s="230"/>
      <c r="D519" s="230"/>
      <c r="E519" s="230"/>
      <c r="F519" s="221"/>
      <c r="G519" s="222"/>
      <c r="H519" s="221"/>
      <c r="I519" s="222"/>
      <c r="J519" s="230"/>
      <c r="K519" s="43"/>
      <c r="L519" s="241"/>
      <c r="M519" s="43" t="s">
        <v>1037</v>
      </c>
      <c r="N519" s="14">
        <v>160</v>
      </c>
      <c r="O519" s="35">
        <v>52.654344550093903</v>
      </c>
      <c r="P519" s="35"/>
      <c r="Q519" s="35"/>
      <c r="R519" s="35">
        <f t="shared" si="61"/>
        <v>52.654344550093903</v>
      </c>
      <c r="S519" s="2">
        <f t="shared" si="60"/>
        <v>0.35770614504139875</v>
      </c>
    </row>
    <row r="520" spans="1:19" hidden="1" x14ac:dyDescent="0.25">
      <c r="A520" s="230"/>
      <c r="B520" s="230"/>
      <c r="C520" s="230"/>
      <c r="D520" s="230"/>
      <c r="E520" s="230"/>
      <c r="F520" s="221"/>
      <c r="G520" s="222"/>
      <c r="H520" s="221"/>
      <c r="I520" s="222"/>
      <c r="J520" s="230"/>
      <c r="K520" s="43"/>
      <c r="L520" s="241"/>
      <c r="M520" s="43" t="s">
        <v>1038</v>
      </c>
      <c r="N520" s="14">
        <v>63</v>
      </c>
      <c r="O520" s="35"/>
      <c r="P520" s="35"/>
      <c r="Q520" s="35"/>
      <c r="R520" s="35">
        <f t="shared" si="61"/>
        <v>0</v>
      </c>
      <c r="S520" s="35"/>
    </row>
    <row r="521" spans="1:19" hidden="1" x14ac:dyDescent="0.25">
      <c r="A521" s="230"/>
      <c r="B521" s="230"/>
      <c r="C521" s="230"/>
      <c r="D521" s="230"/>
      <c r="E521" s="230"/>
      <c r="F521" s="221"/>
      <c r="G521" s="222"/>
      <c r="H521" s="221"/>
      <c r="I521" s="222"/>
      <c r="J521" s="230"/>
      <c r="K521" s="43"/>
      <c r="L521" s="241"/>
      <c r="M521" s="43" t="s">
        <v>1039</v>
      </c>
      <c r="N521" s="14">
        <v>160</v>
      </c>
      <c r="O521" s="35"/>
      <c r="P521" s="35"/>
      <c r="Q521" s="35"/>
      <c r="R521" s="35">
        <f t="shared" si="61"/>
        <v>0</v>
      </c>
      <c r="S521" s="35"/>
    </row>
    <row r="522" spans="1:19" x14ac:dyDescent="0.25">
      <c r="A522" s="230"/>
      <c r="B522" s="230"/>
      <c r="C522" s="230"/>
      <c r="D522" s="230"/>
      <c r="E522" s="230"/>
      <c r="F522" s="221"/>
      <c r="G522" s="222"/>
      <c r="H522" s="221"/>
      <c r="I522" s="222"/>
      <c r="J522" s="230"/>
      <c r="K522" s="43"/>
      <c r="L522" s="241"/>
      <c r="M522" s="43" t="s">
        <v>354</v>
      </c>
      <c r="N522" s="86">
        <f>2*400</f>
        <v>800</v>
      </c>
      <c r="O522" s="35">
        <v>27.643530888799301</v>
      </c>
      <c r="P522" s="35"/>
      <c r="Q522" s="35"/>
      <c r="R522" s="35">
        <f t="shared" si="61"/>
        <v>27.643530888799301</v>
      </c>
      <c r="S522" s="2">
        <f t="shared" ref="S522:S568" si="63">R522/(N522*0.92)</f>
        <v>3.7559145229346877E-2</v>
      </c>
    </row>
    <row r="523" spans="1:19" ht="31.5" x14ac:dyDescent="0.25">
      <c r="A523" s="230"/>
      <c r="B523" s="230"/>
      <c r="C523" s="230"/>
      <c r="D523" s="230"/>
      <c r="E523" s="230"/>
      <c r="F523" s="221"/>
      <c r="G523" s="222"/>
      <c r="H523" s="221"/>
      <c r="I523" s="222"/>
      <c r="J523" s="230"/>
      <c r="K523" s="43"/>
      <c r="L523" s="241"/>
      <c r="M523" s="43" t="s">
        <v>361</v>
      </c>
      <c r="N523" s="14">
        <f>100+250</f>
        <v>350</v>
      </c>
      <c r="O523" s="35">
        <v>90.828744348911897</v>
      </c>
      <c r="P523" s="35"/>
      <c r="Q523" s="35"/>
      <c r="R523" s="35">
        <f t="shared" si="61"/>
        <v>90.828744348911897</v>
      </c>
      <c r="S523" s="2">
        <f t="shared" si="63"/>
        <v>0.28207684580407422</v>
      </c>
    </row>
    <row r="524" spans="1:19" x14ac:dyDescent="0.25">
      <c r="A524" s="230"/>
      <c r="B524" s="230"/>
      <c r="C524" s="230"/>
      <c r="D524" s="230"/>
      <c r="E524" s="230"/>
      <c r="F524" s="221"/>
      <c r="G524" s="222"/>
      <c r="H524" s="221"/>
      <c r="I524" s="222"/>
      <c r="J524" s="230"/>
      <c r="K524" s="43"/>
      <c r="L524" s="241"/>
      <c r="M524" s="43" t="s">
        <v>364</v>
      </c>
      <c r="N524" s="14">
        <f>2*160</f>
        <v>320</v>
      </c>
      <c r="O524" s="35">
        <v>52.654344550093903</v>
      </c>
      <c r="P524" s="35"/>
      <c r="Q524" s="35"/>
      <c r="R524" s="35">
        <f t="shared" si="61"/>
        <v>52.654344550093903</v>
      </c>
      <c r="S524" s="2">
        <f t="shared" si="63"/>
        <v>0.17885307252069937</v>
      </c>
    </row>
    <row r="525" spans="1:19" x14ac:dyDescent="0.25">
      <c r="A525" s="231"/>
      <c r="B525" s="230"/>
      <c r="C525" s="230"/>
      <c r="D525" s="230"/>
      <c r="E525" s="230"/>
      <c r="F525" s="223"/>
      <c r="G525" s="224"/>
      <c r="H525" s="221"/>
      <c r="I525" s="222"/>
      <c r="J525" s="231"/>
      <c r="K525" s="43"/>
      <c r="L525" s="242"/>
      <c r="M525" s="43" t="s">
        <v>188</v>
      </c>
      <c r="N525" s="14">
        <f>2*160</f>
        <v>320</v>
      </c>
      <c r="O525" s="35">
        <v>43.439834253827399</v>
      </c>
      <c r="P525" s="35"/>
      <c r="Q525" s="35">
        <f>11+15</f>
        <v>26</v>
      </c>
      <c r="R525" s="35">
        <f t="shared" si="61"/>
        <v>69.439834253827399</v>
      </c>
      <c r="S525" s="2">
        <f t="shared" si="63"/>
        <v>0.23586900222088109</v>
      </c>
    </row>
    <row r="526" spans="1:19" x14ac:dyDescent="0.25">
      <c r="A526" s="229">
        <f>A502+1</f>
        <v>7</v>
      </c>
      <c r="B526" s="230"/>
      <c r="C526" s="230"/>
      <c r="D526" s="230"/>
      <c r="E526" s="230"/>
      <c r="F526" s="219" t="s">
        <v>78</v>
      </c>
      <c r="G526" s="220"/>
      <c r="H526" s="221"/>
      <c r="I526" s="222"/>
      <c r="J526" s="229"/>
      <c r="K526" s="43"/>
      <c r="L526" s="229">
        <v>1.879</v>
      </c>
      <c r="M526" s="43" t="s">
        <v>144</v>
      </c>
      <c r="N526" s="14">
        <v>400</v>
      </c>
      <c r="O526" s="35">
        <v>83.588771973274007</v>
      </c>
      <c r="P526" s="35"/>
      <c r="Q526" s="35">
        <f>100</f>
        <v>100</v>
      </c>
      <c r="R526" s="35">
        <f t="shared" si="61"/>
        <v>183.58877197327399</v>
      </c>
      <c r="S526" s="2">
        <f t="shared" si="63"/>
        <v>0.49888253253607062</v>
      </c>
    </row>
    <row r="527" spans="1:19" x14ac:dyDescent="0.25">
      <c r="A527" s="230"/>
      <c r="B527" s="230"/>
      <c r="C527" s="230"/>
      <c r="D527" s="230"/>
      <c r="E527" s="230"/>
      <c r="F527" s="221"/>
      <c r="G527" s="222"/>
      <c r="H527" s="221"/>
      <c r="I527" s="222"/>
      <c r="J527" s="230"/>
      <c r="K527" s="43"/>
      <c r="L527" s="230"/>
      <c r="M527" s="43" t="s">
        <v>145</v>
      </c>
      <c r="N527" s="14">
        <v>250</v>
      </c>
      <c r="O527" s="35">
        <v>85.563309893902499</v>
      </c>
      <c r="P527" s="35"/>
      <c r="Q527" s="35"/>
      <c r="R527" s="35">
        <f t="shared" si="61"/>
        <v>85.563309893902499</v>
      </c>
      <c r="S527" s="2">
        <f t="shared" si="63"/>
        <v>0.37201439084305432</v>
      </c>
    </row>
    <row r="528" spans="1:19" ht="31.5" x14ac:dyDescent="0.25">
      <c r="A528" s="230"/>
      <c r="B528" s="230"/>
      <c r="C528" s="230"/>
      <c r="D528" s="230"/>
      <c r="E528" s="230"/>
      <c r="F528" s="221"/>
      <c r="G528" s="222"/>
      <c r="H528" s="221"/>
      <c r="I528" s="222"/>
      <c r="J528" s="230"/>
      <c r="K528" s="43"/>
      <c r="L528" s="230"/>
      <c r="M528" s="43" t="s">
        <v>401</v>
      </c>
      <c r="N528" s="14">
        <v>250</v>
      </c>
      <c r="O528" s="35">
        <v>44.756192867579799</v>
      </c>
      <c r="P528" s="35"/>
      <c r="Q528" s="35"/>
      <c r="R528" s="35">
        <f t="shared" si="61"/>
        <v>44.756192867579799</v>
      </c>
      <c r="S528" s="2">
        <f t="shared" si="63"/>
        <v>0.19459214290252086</v>
      </c>
    </row>
    <row r="529" spans="1:19" x14ac:dyDescent="0.25">
      <c r="A529" s="230"/>
      <c r="B529" s="230"/>
      <c r="C529" s="230"/>
      <c r="D529" s="230"/>
      <c r="E529" s="230"/>
      <c r="F529" s="221"/>
      <c r="G529" s="222"/>
      <c r="H529" s="221"/>
      <c r="I529" s="222"/>
      <c r="J529" s="230"/>
      <c r="K529" s="43"/>
      <c r="L529" s="230"/>
      <c r="M529" s="43" t="s">
        <v>399</v>
      </c>
      <c r="N529" s="14">
        <f>630+400</f>
        <v>1030</v>
      </c>
      <c r="O529" s="35">
        <v>156.64667503652899</v>
      </c>
      <c r="P529" s="35"/>
      <c r="Q529" s="35"/>
      <c r="R529" s="35">
        <f t="shared" si="61"/>
        <v>156.64667503652899</v>
      </c>
      <c r="S529" s="2">
        <f t="shared" si="63"/>
        <v>0.16530885926184993</v>
      </c>
    </row>
    <row r="530" spans="1:19" x14ac:dyDescent="0.25">
      <c r="A530" s="230"/>
      <c r="B530" s="230"/>
      <c r="C530" s="230"/>
      <c r="D530" s="230"/>
      <c r="E530" s="230"/>
      <c r="F530" s="221"/>
      <c r="G530" s="222"/>
      <c r="H530" s="221"/>
      <c r="I530" s="222"/>
      <c r="J530" s="230"/>
      <c r="K530" s="43"/>
      <c r="L530" s="230"/>
      <c r="M530" s="43" t="s">
        <v>1040</v>
      </c>
      <c r="N530" s="14">
        <v>100</v>
      </c>
      <c r="O530" s="35">
        <v>73.057903063255196</v>
      </c>
      <c r="P530" s="35"/>
      <c r="Q530" s="35"/>
      <c r="R530" s="35">
        <f t="shared" si="61"/>
        <v>73.057903063255196</v>
      </c>
      <c r="S530" s="2">
        <f t="shared" si="63"/>
        <v>0.79410764199190431</v>
      </c>
    </row>
    <row r="531" spans="1:19" x14ac:dyDescent="0.25">
      <c r="A531" s="230"/>
      <c r="B531" s="230"/>
      <c r="C531" s="230"/>
      <c r="D531" s="230"/>
      <c r="E531" s="230"/>
      <c r="F531" s="221"/>
      <c r="G531" s="222"/>
      <c r="H531" s="221"/>
      <c r="I531" s="222"/>
      <c r="J531" s="230"/>
      <c r="K531" s="43"/>
      <c r="L531" s="230"/>
      <c r="M531" s="43" t="s">
        <v>146</v>
      </c>
      <c r="N531" s="14">
        <v>250</v>
      </c>
      <c r="O531" s="35">
        <v>59.236137618855601</v>
      </c>
      <c r="P531" s="35"/>
      <c r="Q531" s="35">
        <f>5+5+3</f>
        <v>13</v>
      </c>
      <c r="R531" s="35">
        <f t="shared" si="61"/>
        <v>72.236137618855594</v>
      </c>
      <c r="S531" s="2">
        <f t="shared" si="63"/>
        <v>0.3140701635602417</v>
      </c>
    </row>
    <row r="532" spans="1:19" ht="31.5" x14ac:dyDescent="0.25">
      <c r="A532" s="230"/>
      <c r="B532" s="230"/>
      <c r="C532" s="230"/>
      <c r="D532" s="230"/>
      <c r="E532" s="230"/>
      <c r="F532" s="221"/>
      <c r="G532" s="222"/>
      <c r="H532" s="221"/>
      <c r="I532" s="222"/>
      <c r="J532" s="230"/>
      <c r="K532" s="43"/>
      <c r="L532" s="230"/>
      <c r="M532" s="43" t="s">
        <v>292</v>
      </c>
      <c r="N532" s="1">
        <f>2*630</f>
        <v>1260</v>
      </c>
      <c r="O532" s="35">
        <v>39.490758412570401</v>
      </c>
      <c r="P532" s="35"/>
      <c r="Q532" s="35"/>
      <c r="R532" s="35">
        <f t="shared" si="61"/>
        <v>39.490758412570401</v>
      </c>
      <c r="S532" s="2">
        <f t="shared" si="63"/>
        <v>3.4067251908704625E-2</v>
      </c>
    </row>
    <row r="533" spans="1:19" ht="31.5" x14ac:dyDescent="0.25">
      <c r="A533" s="230"/>
      <c r="B533" s="230"/>
      <c r="C533" s="230"/>
      <c r="D533" s="230"/>
      <c r="E533" s="230"/>
      <c r="F533" s="221"/>
      <c r="G533" s="222"/>
      <c r="H533" s="221"/>
      <c r="I533" s="222"/>
      <c r="J533" s="230"/>
      <c r="K533" s="43"/>
      <c r="L533" s="230"/>
      <c r="M533" s="43" t="s">
        <v>407</v>
      </c>
      <c r="N533" s="14">
        <v>630</v>
      </c>
      <c r="O533" s="35">
        <v>92.803282269540404</v>
      </c>
      <c r="P533" s="35"/>
      <c r="Q533" s="35">
        <v>1</v>
      </c>
      <c r="R533" s="35">
        <f t="shared" si="61"/>
        <v>93.803282269540404</v>
      </c>
      <c r="S533" s="2">
        <f t="shared" si="63"/>
        <v>0.161841411783196</v>
      </c>
    </row>
    <row r="534" spans="1:19" ht="31.5" x14ac:dyDescent="0.25">
      <c r="A534" s="230"/>
      <c r="B534" s="230"/>
      <c r="C534" s="230"/>
      <c r="D534" s="230"/>
      <c r="E534" s="230"/>
      <c r="F534" s="221"/>
      <c r="G534" s="222"/>
      <c r="H534" s="221"/>
      <c r="I534" s="222"/>
      <c r="J534" s="230"/>
      <c r="K534" s="43"/>
      <c r="L534" s="230"/>
      <c r="M534" s="43" t="s">
        <v>294</v>
      </c>
      <c r="N534" s="86">
        <f>2*400</f>
        <v>800</v>
      </c>
      <c r="O534" s="35">
        <v>62.527034153236499</v>
      </c>
      <c r="P534" s="35"/>
      <c r="Q534" s="35"/>
      <c r="R534" s="35">
        <f t="shared" si="61"/>
        <v>62.527034153236499</v>
      </c>
      <c r="S534" s="2">
        <f t="shared" si="63"/>
        <v>8.4955209447332203E-2</v>
      </c>
    </row>
    <row r="535" spans="1:19" x14ac:dyDescent="0.25">
      <c r="A535" s="230"/>
      <c r="B535" s="230"/>
      <c r="C535" s="230"/>
      <c r="D535" s="230"/>
      <c r="E535" s="230"/>
      <c r="F535" s="221"/>
      <c r="G535" s="222"/>
      <c r="H535" s="221"/>
      <c r="I535" s="222"/>
      <c r="J535" s="230"/>
      <c r="K535" s="43"/>
      <c r="L535" s="230"/>
      <c r="M535" s="43" t="s">
        <v>147</v>
      </c>
      <c r="N535" s="14">
        <v>400</v>
      </c>
      <c r="O535" s="35">
        <v>102.017792565807</v>
      </c>
      <c r="P535" s="35"/>
      <c r="Q535" s="35"/>
      <c r="R535" s="35">
        <f t="shared" si="61"/>
        <v>102.017792565807</v>
      </c>
      <c r="S535" s="2">
        <f t="shared" si="63"/>
        <v>0.27722226240708425</v>
      </c>
    </row>
    <row r="536" spans="1:19" ht="31.5" x14ac:dyDescent="0.25">
      <c r="A536" s="230"/>
      <c r="B536" s="230"/>
      <c r="C536" s="230"/>
      <c r="D536" s="230"/>
      <c r="E536" s="230"/>
      <c r="F536" s="221"/>
      <c r="G536" s="222"/>
      <c r="H536" s="221"/>
      <c r="I536" s="222"/>
      <c r="J536" s="230"/>
      <c r="K536" s="43"/>
      <c r="L536" s="230"/>
      <c r="M536" s="43" t="s">
        <v>306</v>
      </c>
      <c r="N536" s="1">
        <f>2*630</f>
        <v>1260</v>
      </c>
      <c r="O536" s="35">
        <v>208.64284027974699</v>
      </c>
      <c r="P536" s="35"/>
      <c r="Q536" s="35">
        <f>93.1</f>
        <v>93.1</v>
      </c>
      <c r="R536" s="35">
        <f t="shared" si="61"/>
        <v>301.74284027974699</v>
      </c>
      <c r="S536" s="2">
        <f t="shared" si="63"/>
        <v>0.26030265724615853</v>
      </c>
    </row>
    <row r="537" spans="1:19" x14ac:dyDescent="0.25">
      <c r="A537" s="230"/>
      <c r="B537" s="230"/>
      <c r="C537" s="230"/>
      <c r="D537" s="230"/>
      <c r="E537" s="230"/>
      <c r="F537" s="221"/>
      <c r="G537" s="222"/>
      <c r="H537" s="221"/>
      <c r="I537" s="222"/>
      <c r="J537" s="230"/>
      <c r="K537" s="43"/>
      <c r="L537" s="230"/>
      <c r="M537" s="43" t="s">
        <v>148</v>
      </c>
      <c r="N537" s="14">
        <v>400</v>
      </c>
      <c r="O537" s="35">
        <v>63.843392766988799</v>
      </c>
      <c r="P537" s="35"/>
      <c r="Q537" s="35"/>
      <c r="R537" s="35">
        <f t="shared" si="61"/>
        <v>63.843392766988799</v>
      </c>
      <c r="S537" s="2">
        <f t="shared" si="63"/>
        <v>0.17348748034507827</v>
      </c>
    </row>
    <row r="538" spans="1:19" x14ac:dyDescent="0.25">
      <c r="A538" s="230"/>
      <c r="B538" s="230"/>
      <c r="C538" s="230"/>
      <c r="D538" s="230"/>
      <c r="E538" s="230"/>
      <c r="F538" s="221"/>
      <c r="G538" s="222"/>
      <c r="H538" s="221"/>
      <c r="I538" s="222"/>
      <c r="J538" s="230"/>
      <c r="K538" s="43"/>
      <c r="L538" s="230"/>
      <c r="M538" s="43" t="s">
        <v>149</v>
      </c>
      <c r="N538" s="14">
        <v>400</v>
      </c>
      <c r="O538" s="35">
        <v>59.8943169257318</v>
      </c>
      <c r="P538" s="35"/>
      <c r="Q538" s="35"/>
      <c r="R538" s="35">
        <f t="shared" si="61"/>
        <v>59.8943169257318</v>
      </c>
      <c r="S538" s="2">
        <f t="shared" si="63"/>
        <v>0.16275629599383643</v>
      </c>
    </row>
    <row r="539" spans="1:19" x14ac:dyDescent="0.25">
      <c r="A539" s="230"/>
      <c r="B539" s="230"/>
      <c r="C539" s="230"/>
      <c r="D539" s="230"/>
      <c r="E539" s="230"/>
      <c r="F539" s="221"/>
      <c r="G539" s="222"/>
      <c r="H539" s="221"/>
      <c r="I539" s="222"/>
      <c r="J539" s="230"/>
      <c r="K539" s="43"/>
      <c r="L539" s="230"/>
      <c r="M539" s="43" t="s">
        <v>1041</v>
      </c>
      <c r="N539" s="1">
        <f>2*630</f>
        <v>1260</v>
      </c>
      <c r="O539" s="35">
        <v>72.399723756379103</v>
      </c>
      <c r="P539" s="35"/>
      <c r="Q539" s="35"/>
      <c r="R539" s="35">
        <f t="shared" si="61"/>
        <v>72.399723756379103</v>
      </c>
      <c r="S539" s="2">
        <f t="shared" si="63"/>
        <v>6.2456628499291837E-2</v>
      </c>
    </row>
    <row r="540" spans="1:19" x14ac:dyDescent="0.25">
      <c r="A540" s="230"/>
      <c r="B540" s="230"/>
      <c r="C540" s="230"/>
      <c r="D540" s="230"/>
      <c r="E540" s="230"/>
      <c r="F540" s="221"/>
      <c r="G540" s="222"/>
      <c r="H540" s="221"/>
      <c r="I540" s="222"/>
      <c r="J540" s="230"/>
      <c r="K540" s="43"/>
      <c r="L540" s="230"/>
      <c r="M540" s="43" t="s">
        <v>409</v>
      </c>
      <c r="N540" s="14">
        <v>630</v>
      </c>
      <c r="O540" s="35">
        <v>98.726896031425994</v>
      </c>
      <c r="P540" s="35"/>
      <c r="Q540" s="35">
        <f>100</f>
        <v>100</v>
      </c>
      <c r="R540" s="35">
        <f t="shared" si="61"/>
        <v>198.72689603142601</v>
      </c>
      <c r="S540" s="2">
        <f t="shared" si="63"/>
        <v>0.34286904077195651</v>
      </c>
    </row>
    <row r="541" spans="1:19" x14ac:dyDescent="0.25">
      <c r="A541" s="230"/>
      <c r="B541" s="230"/>
      <c r="C541" s="230"/>
      <c r="D541" s="230"/>
      <c r="E541" s="230"/>
      <c r="F541" s="221"/>
      <c r="G541" s="222"/>
      <c r="H541" s="221"/>
      <c r="I541" s="222"/>
      <c r="J541" s="230"/>
      <c r="K541" s="43"/>
      <c r="L541" s="230"/>
      <c r="M541" s="43" t="s">
        <v>341</v>
      </c>
      <c r="N541" s="14">
        <v>100</v>
      </c>
      <c r="O541" s="35">
        <v>67.134289301369705</v>
      </c>
      <c r="P541" s="35"/>
      <c r="Q541" s="35"/>
      <c r="R541" s="35">
        <f t="shared" si="61"/>
        <v>67.134289301369705</v>
      </c>
      <c r="S541" s="2">
        <f t="shared" si="63"/>
        <v>0.72972053588445329</v>
      </c>
    </row>
    <row r="542" spans="1:19" ht="31.5" x14ac:dyDescent="0.25">
      <c r="A542" s="230"/>
      <c r="B542" s="230"/>
      <c r="C542" s="230"/>
      <c r="D542" s="230"/>
      <c r="E542" s="230"/>
      <c r="F542" s="221"/>
      <c r="G542" s="222"/>
      <c r="H542" s="221"/>
      <c r="I542" s="222"/>
      <c r="J542" s="230"/>
      <c r="K542" s="43"/>
      <c r="L542" s="230"/>
      <c r="M542" s="43" t="s">
        <v>367</v>
      </c>
      <c r="N542" s="1">
        <f>2*630</f>
        <v>1260</v>
      </c>
      <c r="O542" s="35">
        <v>54.628882470722402</v>
      </c>
      <c r="P542" s="35"/>
      <c r="Q542" s="35"/>
      <c r="R542" s="35">
        <f t="shared" si="61"/>
        <v>54.628882470722402</v>
      </c>
      <c r="S542" s="2">
        <f t="shared" si="63"/>
        <v>4.7126365140374743E-2</v>
      </c>
    </row>
    <row r="543" spans="1:19" x14ac:dyDescent="0.25">
      <c r="A543" s="231"/>
      <c r="B543" s="230"/>
      <c r="C543" s="230"/>
      <c r="D543" s="230"/>
      <c r="E543" s="230"/>
      <c r="F543" s="223"/>
      <c r="G543" s="224"/>
      <c r="H543" s="221"/>
      <c r="I543" s="222"/>
      <c r="J543" s="231"/>
      <c r="K543" s="43"/>
      <c r="L543" s="231"/>
      <c r="M543" s="43" t="s">
        <v>191</v>
      </c>
      <c r="N543" s="14">
        <v>400</v>
      </c>
      <c r="O543" s="35">
        <v>177.050233549691</v>
      </c>
      <c r="P543" s="35"/>
      <c r="Q543" s="35"/>
      <c r="R543" s="35">
        <f t="shared" si="61"/>
        <v>177.050233549691</v>
      </c>
      <c r="S543" s="2">
        <f t="shared" si="63"/>
        <v>0.48111476508068207</v>
      </c>
    </row>
    <row r="544" spans="1:19" x14ac:dyDescent="0.25">
      <c r="A544" s="229">
        <f>A526+1</f>
        <v>8</v>
      </c>
      <c r="B544" s="230"/>
      <c r="C544" s="230"/>
      <c r="D544" s="230"/>
      <c r="E544" s="230"/>
      <c r="F544" s="219" t="s">
        <v>79</v>
      </c>
      <c r="G544" s="220"/>
      <c r="H544" s="221"/>
      <c r="I544" s="222"/>
      <c r="J544" s="229"/>
      <c r="K544" s="43"/>
      <c r="L544" s="240">
        <f>SUM(S544:S555)</f>
        <v>4.7909954199435338</v>
      </c>
      <c r="M544" s="43" t="s">
        <v>1042</v>
      </c>
      <c r="N544" s="14">
        <v>250</v>
      </c>
      <c r="O544" s="35">
        <v>34.883503264437202</v>
      </c>
      <c r="P544" s="35"/>
      <c r="Q544" s="35"/>
      <c r="R544" s="35">
        <f t="shared" si="61"/>
        <v>34.883503264437202</v>
      </c>
      <c r="S544" s="2">
        <f t="shared" si="63"/>
        <v>0.15166740549755306</v>
      </c>
    </row>
    <row r="545" spans="1:19" x14ac:dyDescent="0.25">
      <c r="A545" s="230"/>
      <c r="B545" s="230"/>
      <c r="C545" s="230"/>
      <c r="D545" s="230"/>
      <c r="E545" s="230"/>
      <c r="F545" s="221"/>
      <c r="G545" s="222"/>
      <c r="H545" s="221"/>
      <c r="I545" s="222"/>
      <c r="J545" s="230"/>
      <c r="K545" s="43"/>
      <c r="L545" s="241"/>
      <c r="M545" s="43" t="s">
        <v>1043</v>
      </c>
      <c r="N545" s="1">
        <f>2*630</f>
        <v>1260</v>
      </c>
      <c r="O545" s="35">
        <v>72.399723756379103</v>
      </c>
      <c r="P545" s="35"/>
      <c r="Q545" s="35"/>
      <c r="R545" s="35">
        <f t="shared" si="61"/>
        <v>72.399723756379103</v>
      </c>
      <c r="S545" s="2">
        <f t="shared" si="63"/>
        <v>6.2456628499291837E-2</v>
      </c>
    </row>
    <row r="546" spans="1:19" x14ac:dyDescent="0.25">
      <c r="A546" s="230"/>
      <c r="B546" s="230"/>
      <c r="C546" s="230"/>
      <c r="D546" s="230"/>
      <c r="E546" s="230"/>
      <c r="F546" s="221"/>
      <c r="G546" s="222"/>
      <c r="H546" s="221"/>
      <c r="I546" s="222"/>
      <c r="J546" s="230"/>
      <c r="K546" s="43"/>
      <c r="L546" s="241"/>
      <c r="M546" s="43" t="s">
        <v>150</v>
      </c>
      <c r="N546" s="14">
        <v>160</v>
      </c>
      <c r="O546" s="35">
        <v>80.956054745769293</v>
      </c>
      <c r="P546" s="35"/>
      <c r="Q546" s="35"/>
      <c r="R546" s="35">
        <f t="shared" si="61"/>
        <v>80.956054745769293</v>
      </c>
      <c r="S546" s="2">
        <f t="shared" si="63"/>
        <v>0.54997319800115008</v>
      </c>
    </row>
    <row r="547" spans="1:19" x14ac:dyDescent="0.25">
      <c r="A547" s="230"/>
      <c r="B547" s="230"/>
      <c r="C547" s="230"/>
      <c r="D547" s="230"/>
      <c r="E547" s="230"/>
      <c r="F547" s="221"/>
      <c r="G547" s="222"/>
      <c r="H547" s="221"/>
      <c r="I547" s="222"/>
      <c r="J547" s="230"/>
      <c r="K547" s="43"/>
      <c r="L547" s="241"/>
      <c r="M547" s="43" t="s">
        <v>1044</v>
      </c>
      <c r="N547" s="14">
        <f>2*250</f>
        <v>500</v>
      </c>
      <c r="O547" s="35">
        <v>80.956054745769293</v>
      </c>
      <c r="P547" s="35"/>
      <c r="Q547" s="35"/>
      <c r="R547" s="35">
        <f t="shared" si="61"/>
        <v>80.956054745769293</v>
      </c>
      <c r="S547" s="2">
        <f t="shared" si="63"/>
        <v>0.17599142336036802</v>
      </c>
    </row>
    <row r="548" spans="1:19" x14ac:dyDescent="0.25">
      <c r="A548" s="230"/>
      <c r="B548" s="230"/>
      <c r="C548" s="230"/>
      <c r="D548" s="230"/>
      <c r="E548" s="230"/>
      <c r="F548" s="221"/>
      <c r="G548" s="222"/>
      <c r="H548" s="221"/>
      <c r="I548" s="222"/>
      <c r="J548" s="230"/>
      <c r="K548" s="43"/>
      <c r="L548" s="241"/>
      <c r="M548" s="43" t="s">
        <v>1045</v>
      </c>
      <c r="N548" s="14">
        <v>160</v>
      </c>
      <c r="O548" s="35">
        <v>21.0617378200375</v>
      </c>
      <c r="P548" s="35"/>
      <c r="Q548" s="35"/>
      <c r="R548" s="35">
        <f t="shared" si="61"/>
        <v>21.0617378200375</v>
      </c>
      <c r="S548" s="2">
        <f t="shared" si="63"/>
        <v>0.14308245801655908</v>
      </c>
    </row>
    <row r="549" spans="1:19" x14ac:dyDescent="0.25">
      <c r="A549" s="230"/>
      <c r="B549" s="230"/>
      <c r="C549" s="230"/>
      <c r="D549" s="230"/>
      <c r="E549" s="230"/>
      <c r="F549" s="221"/>
      <c r="G549" s="222"/>
      <c r="H549" s="221"/>
      <c r="I549" s="222"/>
      <c r="J549" s="230"/>
      <c r="K549" s="43"/>
      <c r="L549" s="241"/>
      <c r="M549" s="43" t="s">
        <v>1046</v>
      </c>
      <c r="N549" s="14">
        <v>630</v>
      </c>
      <c r="O549" s="35">
        <v>31.5926067300563</v>
      </c>
      <c r="P549" s="35"/>
      <c r="Q549" s="35"/>
      <c r="R549" s="35">
        <f t="shared" si="61"/>
        <v>31.5926067300563</v>
      </c>
      <c r="S549" s="2">
        <f t="shared" si="63"/>
        <v>5.4507603053927364E-2</v>
      </c>
    </row>
    <row r="550" spans="1:19" x14ac:dyDescent="0.25">
      <c r="A550" s="230"/>
      <c r="B550" s="230"/>
      <c r="C550" s="230"/>
      <c r="D550" s="230"/>
      <c r="E550" s="230"/>
      <c r="F550" s="221"/>
      <c r="G550" s="222"/>
      <c r="H550" s="221"/>
      <c r="I550" s="222"/>
      <c r="J550" s="230"/>
      <c r="K550" s="43"/>
      <c r="L550" s="241"/>
      <c r="M550" s="43" t="s">
        <v>1047</v>
      </c>
      <c r="N550" s="14">
        <f>2*25</f>
        <v>50</v>
      </c>
      <c r="O550" s="35">
        <v>12.505406830647299</v>
      </c>
      <c r="P550" s="35"/>
      <c r="Q550" s="35"/>
      <c r="R550" s="35">
        <f t="shared" si="61"/>
        <v>12.505406830647299</v>
      </c>
      <c r="S550" s="2">
        <f t="shared" si="63"/>
        <v>0.27185667023146304</v>
      </c>
    </row>
    <row r="551" spans="1:19" x14ac:dyDescent="0.25">
      <c r="A551" s="230"/>
      <c r="B551" s="230"/>
      <c r="C551" s="230"/>
      <c r="D551" s="230"/>
      <c r="E551" s="230"/>
      <c r="F551" s="221"/>
      <c r="G551" s="222"/>
      <c r="H551" s="221"/>
      <c r="I551" s="222"/>
      <c r="J551" s="230"/>
      <c r="K551" s="43"/>
      <c r="L551" s="241"/>
      <c r="M551" s="43" t="s">
        <v>1048</v>
      </c>
      <c r="N551" s="14">
        <v>25</v>
      </c>
      <c r="O551" s="35">
        <v>24.352634354418399</v>
      </c>
      <c r="P551" s="35"/>
      <c r="Q551" s="35"/>
      <c r="R551" s="35">
        <f t="shared" si="61"/>
        <v>24.352634354418399</v>
      </c>
      <c r="S551" s="2">
        <f t="shared" si="63"/>
        <v>1.058810189322539</v>
      </c>
    </row>
    <row r="552" spans="1:19" x14ac:dyDescent="0.25">
      <c r="A552" s="230"/>
      <c r="B552" s="230"/>
      <c r="C552" s="230"/>
      <c r="D552" s="230"/>
      <c r="E552" s="230"/>
      <c r="F552" s="221"/>
      <c r="G552" s="222"/>
      <c r="H552" s="221"/>
      <c r="I552" s="222"/>
      <c r="J552" s="230"/>
      <c r="K552" s="43"/>
      <c r="L552" s="241"/>
      <c r="M552" s="43" t="s">
        <v>1049</v>
      </c>
      <c r="N552" s="14">
        <v>25</v>
      </c>
      <c r="O552" s="35">
        <v>12.250786036932499</v>
      </c>
      <c r="P552" s="35"/>
      <c r="Q552" s="35"/>
      <c r="R552" s="35">
        <f t="shared" si="61"/>
        <v>12.250786036932499</v>
      </c>
      <c r="S552" s="2">
        <f t="shared" si="63"/>
        <v>0.53264287117097819</v>
      </c>
    </row>
    <row r="553" spans="1:19" x14ac:dyDescent="0.25">
      <c r="A553" s="230"/>
      <c r="B553" s="230"/>
      <c r="C553" s="230"/>
      <c r="D553" s="230"/>
      <c r="E553" s="230"/>
      <c r="F553" s="221"/>
      <c r="G553" s="222"/>
      <c r="H553" s="221"/>
      <c r="I553" s="222"/>
      <c r="J553" s="230"/>
      <c r="K553" s="43"/>
      <c r="L553" s="241"/>
      <c r="M553" s="43" t="s">
        <v>1050</v>
      </c>
      <c r="N553" s="14">
        <v>250</v>
      </c>
      <c r="O553" s="35">
        <v>177.70841285656701</v>
      </c>
      <c r="P553" s="35"/>
      <c r="Q553" s="35"/>
      <c r="R553" s="35">
        <f t="shared" si="61"/>
        <v>177.70841285656701</v>
      </c>
      <c r="S553" s="2">
        <f t="shared" si="63"/>
        <v>0.77264527328942179</v>
      </c>
    </row>
    <row r="554" spans="1:19" x14ac:dyDescent="0.25">
      <c r="A554" s="230"/>
      <c r="B554" s="230"/>
      <c r="C554" s="230"/>
      <c r="D554" s="230"/>
      <c r="E554" s="230"/>
      <c r="F554" s="221"/>
      <c r="G554" s="222"/>
      <c r="H554" s="221"/>
      <c r="I554" s="222"/>
      <c r="J554" s="230"/>
      <c r="K554" s="43"/>
      <c r="L554" s="241"/>
      <c r="M554" s="43" t="s">
        <v>1051</v>
      </c>
      <c r="N554" s="14">
        <v>100</v>
      </c>
      <c r="O554" s="35">
        <v>61.2106755394841</v>
      </c>
      <c r="P554" s="35"/>
      <c r="Q554" s="35"/>
      <c r="R554" s="35">
        <f t="shared" si="61"/>
        <v>61.2106755394841</v>
      </c>
      <c r="S554" s="2">
        <f t="shared" si="63"/>
        <v>0.66533342977700105</v>
      </c>
    </row>
    <row r="555" spans="1:19" x14ac:dyDescent="0.25">
      <c r="A555" s="231"/>
      <c r="B555" s="230"/>
      <c r="C555" s="230"/>
      <c r="D555" s="230"/>
      <c r="E555" s="230"/>
      <c r="F555" s="223"/>
      <c r="G555" s="224"/>
      <c r="H555" s="221"/>
      <c r="I555" s="222"/>
      <c r="J555" s="231"/>
      <c r="K555" s="43"/>
      <c r="L555" s="242"/>
      <c r="M555" s="43" t="s">
        <v>1052</v>
      </c>
      <c r="N555" s="14">
        <v>63</v>
      </c>
      <c r="O555" s="35">
        <v>20.4035585131614</v>
      </c>
      <c r="P555" s="35"/>
      <c r="Q555" s="35"/>
      <c r="R555" s="35">
        <f t="shared" si="61"/>
        <v>20.4035585131614</v>
      </c>
      <c r="S555" s="2">
        <f t="shared" si="63"/>
        <v>0.35202826972328155</v>
      </c>
    </row>
    <row r="556" spans="1:19" x14ac:dyDescent="0.25">
      <c r="A556" s="229">
        <v>9</v>
      </c>
      <c r="B556" s="230"/>
      <c r="C556" s="230"/>
      <c r="D556" s="230"/>
      <c r="E556" s="230"/>
      <c r="F556" s="219" t="s">
        <v>80</v>
      </c>
      <c r="G556" s="220"/>
      <c r="H556" s="221"/>
      <c r="I556" s="222"/>
      <c r="J556" s="229"/>
      <c r="K556" s="43"/>
      <c r="L556" s="240">
        <f>SUM(S556:S569)</f>
        <v>3.1288215834252044</v>
      </c>
      <c r="M556" s="43" t="s">
        <v>1042</v>
      </c>
      <c r="N556" s="14">
        <v>250</v>
      </c>
      <c r="O556" s="35">
        <v>34.883503264437202</v>
      </c>
      <c r="P556" s="35"/>
      <c r="Q556" s="35"/>
      <c r="R556" s="35">
        <f t="shared" si="61"/>
        <v>34.883503264437202</v>
      </c>
      <c r="S556" s="2">
        <f t="shared" si="63"/>
        <v>0.15166740549755306</v>
      </c>
    </row>
    <row r="557" spans="1:19" x14ac:dyDescent="0.25">
      <c r="A557" s="230"/>
      <c r="B557" s="230"/>
      <c r="C557" s="230"/>
      <c r="D557" s="230"/>
      <c r="E557" s="230"/>
      <c r="F557" s="221"/>
      <c r="G557" s="222"/>
      <c r="H557" s="221"/>
      <c r="I557" s="222"/>
      <c r="J557" s="230"/>
      <c r="K557" s="43"/>
      <c r="L557" s="241"/>
      <c r="M557" s="43" t="s">
        <v>1043</v>
      </c>
      <c r="N557" s="1">
        <f>2*630</f>
        <v>1260</v>
      </c>
      <c r="O557" s="35">
        <v>72.399723756379103</v>
      </c>
      <c r="P557" s="35"/>
      <c r="Q557" s="35"/>
      <c r="R557" s="35">
        <f t="shared" si="61"/>
        <v>72.399723756379103</v>
      </c>
      <c r="S557" s="2">
        <f t="shared" si="63"/>
        <v>6.2456628499291837E-2</v>
      </c>
    </row>
    <row r="558" spans="1:19" x14ac:dyDescent="0.25">
      <c r="A558" s="230"/>
      <c r="B558" s="230"/>
      <c r="C558" s="230"/>
      <c r="D558" s="230"/>
      <c r="E558" s="230"/>
      <c r="F558" s="221"/>
      <c r="G558" s="222"/>
      <c r="H558" s="221"/>
      <c r="I558" s="222"/>
      <c r="J558" s="230"/>
      <c r="K558" s="43"/>
      <c r="L558" s="241"/>
      <c r="M558" s="43" t="s">
        <v>150</v>
      </c>
      <c r="N558" s="14">
        <v>160</v>
      </c>
      <c r="O558" s="35">
        <v>98.726896031425994</v>
      </c>
      <c r="P558" s="35"/>
      <c r="Q558" s="35"/>
      <c r="R558" s="35">
        <f t="shared" ref="R558:R605" si="64">O558+P558+Q558</f>
        <v>98.726896031425994</v>
      </c>
      <c r="S558" s="2">
        <f t="shared" si="63"/>
        <v>0.67069902195262221</v>
      </c>
    </row>
    <row r="559" spans="1:19" x14ac:dyDescent="0.25">
      <c r="A559" s="230"/>
      <c r="B559" s="230"/>
      <c r="C559" s="230"/>
      <c r="D559" s="230"/>
      <c r="E559" s="230"/>
      <c r="F559" s="221"/>
      <c r="G559" s="222"/>
      <c r="H559" s="221"/>
      <c r="I559" s="222"/>
      <c r="J559" s="230"/>
      <c r="K559" s="43"/>
      <c r="L559" s="241"/>
      <c r="M559" s="43" t="s">
        <v>1044</v>
      </c>
      <c r="N559" s="14">
        <f>2*250</f>
        <v>500</v>
      </c>
      <c r="O559" s="35">
        <v>80.956054745769293</v>
      </c>
      <c r="P559" s="35"/>
      <c r="Q559" s="35"/>
      <c r="R559" s="35">
        <f t="shared" si="64"/>
        <v>80.956054745769293</v>
      </c>
      <c r="S559" s="2">
        <f t="shared" si="63"/>
        <v>0.17599142336036802</v>
      </c>
    </row>
    <row r="560" spans="1:19" x14ac:dyDescent="0.25">
      <c r="A560" s="230"/>
      <c r="B560" s="230"/>
      <c r="C560" s="230"/>
      <c r="D560" s="230"/>
      <c r="E560" s="230"/>
      <c r="F560" s="221"/>
      <c r="G560" s="222"/>
      <c r="H560" s="221"/>
      <c r="I560" s="222"/>
      <c r="J560" s="230"/>
      <c r="K560" s="43"/>
      <c r="L560" s="241"/>
      <c r="M560" s="43" t="s">
        <v>165</v>
      </c>
      <c r="N560" s="14">
        <v>160</v>
      </c>
      <c r="O560" s="35">
        <v>13.163586137523501</v>
      </c>
      <c r="P560" s="35"/>
      <c r="Q560" s="35"/>
      <c r="R560" s="35">
        <f t="shared" si="64"/>
        <v>13.163586137523501</v>
      </c>
      <c r="S560" s="2">
        <f t="shared" si="63"/>
        <v>8.9426536260349854E-2</v>
      </c>
    </row>
    <row r="561" spans="1:19" x14ac:dyDescent="0.25">
      <c r="A561" s="230"/>
      <c r="B561" s="230"/>
      <c r="C561" s="230"/>
      <c r="D561" s="230"/>
      <c r="E561" s="230"/>
      <c r="F561" s="221"/>
      <c r="G561" s="222"/>
      <c r="H561" s="221"/>
      <c r="I561" s="222"/>
      <c r="J561" s="230"/>
      <c r="K561" s="43"/>
      <c r="L561" s="241"/>
      <c r="M561" s="43" t="s">
        <v>1053</v>
      </c>
      <c r="N561" s="1">
        <f>2*630</f>
        <v>1260</v>
      </c>
      <c r="O561" s="35">
        <v>202.06104721098501</v>
      </c>
      <c r="P561" s="35"/>
      <c r="Q561" s="35"/>
      <c r="R561" s="35">
        <f t="shared" si="64"/>
        <v>202.06104721098501</v>
      </c>
      <c r="S561" s="2">
        <f t="shared" si="63"/>
        <v>0.17431077226620514</v>
      </c>
    </row>
    <row r="562" spans="1:19" x14ac:dyDescent="0.25">
      <c r="A562" s="230"/>
      <c r="B562" s="230"/>
      <c r="C562" s="230"/>
      <c r="D562" s="230"/>
      <c r="E562" s="230"/>
      <c r="F562" s="221"/>
      <c r="G562" s="222"/>
      <c r="H562" s="221"/>
      <c r="I562" s="222"/>
      <c r="J562" s="230"/>
      <c r="K562" s="43"/>
      <c r="L562" s="241"/>
      <c r="M562" s="43" t="s">
        <v>263</v>
      </c>
      <c r="N562" s="14">
        <v>250</v>
      </c>
      <c r="O562" s="35">
        <v>16.454482671904302</v>
      </c>
      <c r="P562" s="35"/>
      <c r="Q562" s="35"/>
      <c r="R562" s="35">
        <f t="shared" si="64"/>
        <v>16.454482671904302</v>
      </c>
      <c r="S562" s="2">
        <f t="shared" si="63"/>
        <v>7.1541229008279569E-2</v>
      </c>
    </row>
    <row r="563" spans="1:19" x14ac:dyDescent="0.25">
      <c r="A563" s="230"/>
      <c r="B563" s="230"/>
      <c r="C563" s="230"/>
      <c r="D563" s="230"/>
      <c r="E563" s="230"/>
      <c r="F563" s="221"/>
      <c r="G563" s="222"/>
      <c r="H563" s="221"/>
      <c r="I563" s="222"/>
      <c r="J563" s="230"/>
      <c r="K563" s="43"/>
      <c r="L563" s="241"/>
      <c r="M563" s="43" t="s">
        <v>1054</v>
      </c>
      <c r="N563" s="14">
        <v>400</v>
      </c>
      <c r="O563" s="35">
        <v>16.454482671904302</v>
      </c>
      <c r="P563" s="35"/>
      <c r="Q563" s="35"/>
      <c r="R563" s="35">
        <f t="shared" si="64"/>
        <v>16.454482671904302</v>
      </c>
      <c r="S563" s="2">
        <f t="shared" si="63"/>
        <v>4.4713268130174733E-2</v>
      </c>
    </row>
    <row r="564" spans="1:19" x14ac:dyDescent="0.25">
      <c r="A564" s="230"/>
      <c r="B564" s="230"/>
      <c r="C564" s="230"/>
      <c r="D564" s="230"/>
      <c r="E564" s="230"/>
      <c r="F564" s="221"/>
      <c r="G564" s="222"/>
      <c r="H564" s="221"/>
      <c r="I564" s="222"/>
      <c r="J564" s="230"/>
      <c r="K564" s="43"/>
      <c r="L564" s="241"/>
      <c r="M564" s="43" t="s">
        <v>169</v>
      </c>
      <c r="N564" s="14">
        <v>10</v>
      </c>
      <c r="O564" s="35">
        <v>0.65817930687617299</v>
      </c>
      <c r="P564" s="35"/>
      <c r="Q564" s="35"/>
      <c r="R564" s="35">
        <f t="shared" si="64"/>
        <v>0.65817930687617299</v>
      </c>
      <c r="S564" s="2">
        <f t="shared" si="63"/>
        <v>7.1541229008279666E-2</v>
      </c>
    </row>
    <row r="565" spans="1:19" x14ac:dyDescent="0.25">
      <c r="A565" s="230"/>
      <c r="B565" s="230"/>
      <c r="C565" s="230"/>
      <c r="D565" s="230"/>
      <c r="E565" s="230"/>
      <c r="F565" s="221"/>
      <c r="G565" s="222"/>
      <c r="H565" s="221"/>
      <c r="I565" s="222"/>
      <c r="J565" s="230"/>
      <c r="K565" s="43"/>
      <c r="L565" s="241"/>
      <c r="M565" s="43" t="s">
        <v>1055</v>
      </c>
      <c r="N565" s="14">
        <v>250</v>
      </c>
      <c r="O565" s="35">
        <v>80.956054745769293</v>
      </c>
      <c r="P565" s="35"/>
      <c r="Q565" s="35"/>
      <c r="R565" s="35">
        <f t="shared" si="64"/>
        <v>80.956054745769293</v>
      </c>
      <c r="S565" s="2">
        <f t="shared" si="63"/>
        <v>0.35198284672073604</v>
      </c>
    </row>
    <row r="566" spans="1:19" x14ac:dyDescent="0.25">
      <c r="A566" s="230"/>
      <c r="B566" s="230"/>
      <c r="C566" s="230"/>
      <c r="D566" s="230"/>
      <c r="E566" s="230"/>
      <c r="F566" s="221"/>
      <c r="G566" s="222"/>
      <c r="H566" s="221"/>
      <c r="I566" s="222"/>
      <c r="J566" s="230"/>
      <c r="K566" s="43"/>
      <c r="L566" s="241"/>
      <c r="M566" s="43" t="s">
        <v>1056</v>
      </c>
      <c r="N566" s="14">
        <v>400</v>
      </c>
      <c r="O566" s="35">
        <v>91.486923655788104</v>
      </c>
      <c r="P566" s="35"/>
      <c r="Q566" s="35"/>
      <c r="R566" s="35">
        <f t="shared" si="64"/>
        <v>91.486923655788104</v>
      </c>
      <c r="S566" s="2">
        <f t="shared" si="63"/>
        <v>0.24860577080377202</v>
      </c>
    </row>
    <row r="567" spans="1:19" x14ac:dyDescent="0.25">
      <c r="A567" s="230"/>
      <c r="B567" s="230"/>
      <c r="C567" s="230"/>
      <c r="D567" s="230"/>
      <c r="E567" s="230"/>
      <c r="F567" s="221"/>
      <c r="G567" s="222"/>
      <c r="H567" s="221"/>
      <c r="I567" s="222"/>
      <c r="J567" s="230"/>
      <c r="K567" s="43"/>
      <c r="L567" s="241"/>
      <c r="M567" s="43" t="s">
        <v>1057</v>
      </c>
      <c r="N567" s="14">
        <v>160</v>
      </c>
      <c r="O567" s="35">
        <v>84.246951280150199</v>
      </c>
      <c r="P567" s="35"/>
      <c r="Q567" s="35"/>
      <c r="R567" s="35">
        <f t="shared" si="64"/>
        <v>84.246951280150199</v>
      </c>
      <c r="S567" s="2">
        <f t="shared" si="63"/>
        <v>0.57232983206623766</v>
      </c>
    </row>
    <row r="568" spans="1:19" x14ac:dyDescent="0.25">
      <c r="A568" s="230"/>
      <c r="B568" s="230"/>
      <c r="C568" s="230"/>
      <c r="D568" s="230"/>
      <c r="E568" s="230"/>
      <c r="F568" s="221"/>
      <c r="G568" s="222"/>
      <c r="H568" s="221"/>
      <c r="I568" s="222"/>
      <c r="J568" s="230"/>
      <c r="K568" s="43"/>
      <c r="L568" s="241"/>
      <c r="M568" s="43" t="s">
        <v>1047</v>
      </c>
      <c r="N568" s="14">
        <f>2*25</f>
        <v>50</v>
      </c>
      <c r="O568" s="35">
        <v>20.4035585131614</v>
      </c>
      <c r="P568" s="35"/>
      <c r="Q568" s="35"/>
      <c r="R568" s="35">
        <f t="shared" si="64"/>
        <v>20.4035585131614</v>
      </c>
      <c r="S568" s="2">
        <f t="shared" si="63"/>
        <v>0.44355561985133479</v>
      </c>
    </row>
    <row r="569" spans="1:19" hidden="1" x14ac:dyDescent="0.25">
      <c r="A569" s="231"/>
      <c r="B569" s="230"/>
      <c r="C569" s="230"/>
      <c r="D569" s="230"/>
      <c r="E569" s="230"/>
      <c r="F569" s="223"/>
      <c r="G569" s="224"/>
      <c r="H569" s="221"/>
      <c r="I569" s="222"/>
      <c r="J569" s="231"/>
      <c r="K569" s="43"/>
      <c r="L569" s="242"/>
      <c r="M569" s="43" t="s">
        <v>1058</v>
      </c>
      <c r="N569" s="14">
        <v>250</v>
      </c>
      <c r="O569" s="35"/>
      <c r="P569" s="35"/>
      <c r="Q569" s="35"/>
      <c r="R569" s="35">
        <f t="shared" si="64"/>
        <v>0</v>
      </c>
      <c r="S569" s="35"/>
    </row>
    <row r="570" spans="1:19" ht="31.5" hidden="1" x14ac:dyDescent="0.25">
      <c r="A570" s="229">
        <v>10</v>
      </c>
      <c r="B570" s="230"/>
      <c r="C570" s="230"/>
      <c r="D570" s="230"/>
      <c r="E570" s="230"/>
      <c r="F570" s="219" t="s">
        <v>1059</v>
      </c>
      <c r="G570" s="220"/>
      <c r="H570" s="221"/>
      <c r="I570" s="222"/>
      <c r="J570" s="229"/>
      <c r="K570" s="43"/>
      <c r="L570" s="240">
        <f>SUM(S570:S581)</f>
        <v>1.980618327750677</v>
      </c>
      <c r="M570" s="43" t="s">
        <v>549</v>
      </c>
      <c r="N570" s="36"/>
      <c r="O570" s="35"/>
      <c r="P570" s="35"/>
      <c r="Q570" s="35"/>
      <c r="R570" s="35">
        <f t="shared" si="64"/>
        <v>0</v>
      </c>
      <c r="S570" s="35"/>
    </row>
    <row r="571" spans="1:19" x14ac:dyDescent="0.25">
      <c r="A571" s="230"/>
      <c r="B571" s="230"/>
      <c r="C571" s="230"/>
      <c r="D571" s="230"/>
      <c r="E571" s="230"/>
      <c r="F571" s="221"/>
      <c r="G571" s="222"/>
      <c r="H571" s="221"/>
      <c r="I571" s="222"/>
      <c r="J571" s="230"/>
      <c r="K571" s="43"/>
      <c r="L571" s="241"/>
      <c r="M571" s="43" t="s">
        <v>157</v>
      </c>
      <c r="N571" s="36">
        <v>400</v>
      </c>
      <c r="O571" s="35">
        <v>108.599585634569</v>
      </c>
      <c r="P571" s="35"/>
      <c r="Q571" s="35"/>
      <c r="R571" s="35">
        <f t="shared" si="64"/>
        <v>108.599585634569</v>
      </c>
      <c r="S571" s="2">
        <f t="shared" ref="S571:S581" si="65">R571/(N571*0.92)</f>
        <v>0.29510756965915486</v>
      </c>
    </row>
    <row r="572" spans="1:19" x14ac:dyDescent="0.25">
      <c r="A572" s="230"/>
      <c r="B572" s="230"/>
      <c r="C572" s="230"/>
      <c r="D572" s="230"/>
      <c r="E572" s="230"/>
      <c r="F572" s="221"/>
      <c r="G572" s="222"/>
      <c r="H572" s="221"/>
      <c r="I572" s="222"/>
      <c r="J572" s="230"/>
      <c r="K572" s="43"/>
      <c r="L572" s="241"/>
      <c r="M572" s="43" t="s">
        <v>159</v>
      </c>
      <c r="N572" s="36">
        <v>400</v>
      </c>
      <c r="O572" s="35">
        <v>92.145102962664296</v>
      </c>
      <c r="P572" s="35"/>
      <c r="Q572" s="35">
        <f>15</f>
        <v>15</v>
      </c>
      <c r="R572" s="35">
        <f t="shared" si="64"/>
        <v>107.1451029626643</v>
      </c>
      <c r="S572" s="2">
        <f t="shared" si="65"/>
        <v>0.29115517109419647</v>
      </c>
    </row>
    <row r="573" spans="1:19" x14ac:dyDescent="0.25">
      <c r="A573" s="230"/>
      <c r="B573" s="230"/>
      <c r="C573" s="230"/>
      <c r="D573" s="230"/>
      <c r="E573" s="230"/>
      <c r="F573" s="221"/>
      <c r="G573" s="222"/>
      <c r="H573" s="221"/>
      <c r="I573" s="222"/>
      <c r="J573" s="230"/>
      <c r="K573" s="43"/>
      <c r="L573" s="241"/>
      <c r="M573" s="43" t="s">
        <v>161</v>
      </c>
      <c r="N573" s="36">
        <v>250</v>
      </c>
      <c r="O573" s="35">
        <v>16.454482671904302</v>
      </c>
      <c r="P573" s="35"/>
      <c r="Q573" s="35"/>
      <c r="R573" s="35">
        <f t="shared" si="64"/>
        <v>16.454482671904302</v>
      </c>
      <c r="S573" s="2">
        <f t="shared" si="65"/>
        <v>7.1541229008279569E-2</v>
      </c>
    </row>
    <row r="574" spans="1:19" x14ac:dyDescent="0.25">
      <c r="A574" s="230"/>
      <c r="B574" s="230"/>
      <c r="C574" s="230"/>
      <c r="D574" s="230"/>
      <c r="E574" s="230"/>
      <c r="F574" s="221"/>
      <c r="G574" s="222"/>
      <c r="H574" s="221"/>
      <c r="I574" s="222"/>
      <c r="J574" s="230"/>
      <c r="K574" s="43"/>
      <c r="L574" s="241"/>
      <c r="M574" s="43" t="s">
        <v>135</v>
      </c>
      <c r="N574" s="36">
        <v>250</v>
      </c>
      <c r="O574" s="35">
        <v>80.956054745769293</v>
      </c>
      <c r="P574" s="35"/>
      <c r="Q574" s="35"/>
      <c r="R574" s="35">
        <f t="shared" si="64"/>
        <v>80.956054745769293</v>
      </c>
      <c r="S574" s="2">
        <f t="shared" si="65"/>
        <v>0.35198284672073604</v>
      </c>
    </row>
    <row r="575" spans="1:19" x14ac:dyDescent="0.25">
      <c r="A575" s="230"/>
      <c r="B575" s="230"/>
      <c r="C575" s="230"/>
      <c r="D575" s="230"/>
      <c r="E575" s="230"/>
      <c r="F575" s="221"/>
      <c r="G575" s="222"/>
      <c r="H575" s="221"/>
      <c r="I575" s="222"/>
      <c r="J575" s="230"/>
      <c r="K575" s="43"/>
      <c r="L575" s="241"/>
      <c r="M575" s="43" t="s">
        <v>1060</v>
      </c>
      <c r="N575" s="1">
        <f t="shared" ref="N575:N580" si="66">2*630</f>
        <v>1260</v>
      </c>
      <c r="O575" s="35">
        <v>157.963033650282</v>
      </c>
      <c r="P575" s="35"/>
      <c r="Q575" s="35"/>
      <c r="R575" s="35">
        <f t="shared" si="64"/>
        <v>157.963033650282</v>
      </c>
      <c r="S575" s="2">
        <f t="shared" si="65"/>
        <v>0.13626900763481883</v>
      </c>
    </row>
    <row r="576" spans="1:19" x14ac:dyDescent="0.25">
      <c r="A576" s="230"/>
      <c r="B576" s="230"/>
      <c r="C576" s="230"/>
      <c r="D576" s="230"/>
      <c r="E576" s="230"/>
      <c r="F576" s="221"/>
      <c r="G576" s="222"/>
      <c r="H576" s="221"/>
      <c r="I576" s="222"/>
      <c r="J576" s="230"/>
      <c r="K576" s="43"/>
      <c r="L576" s="241"/>
      <c r="M576" s="43" t="s">
        <v>1061</v>
      </c>
      <c r="N576" s="1">
        <f t="shared" si="66"/>
        <v>1260</v>
      </c>
      <c r="O576" s="35">
        <v>113.206840782702</v>
      </c>
      <c r="P576" s="35"/>
      <c r="Q576" s="35"/>
      <c r="R576" s="35">
        <f t="shared" si="64"/>
        <v>113.206840782702</v>
      </c>
      <c r="S576" s="2">
        <f t="shared" si="65"/>
        <v>9.7659455471620082E-2</v>
      </c>
    </row>
    <row r="577" spans="1:19" x14ac:dyDescent="0.25">
      <c r="A577" s="230"/>
      <c r="B577" s="230"/>
      <c r="C577" s="230"/>
      <c r="D577" s="230"/>
      <c r="E577" s="230"/>
      <c r="F577" s="221"/>
      <c r="G577" s="222"/>
      <c r="H577" s="221"/>
      <c r="I577" s="222"/>
      <c r="J577" s="230"/>
      <c r="K577" s="43"/>
      <c r="L577" s="241"/>
      <c r="M577" s="43" t="s">
        <v>1062</v>
      </c>
      <c r="N577" s="1">
        <f t="shared" si="66"/>
        <v>1260</v>
      </c>
      <c r="O577" s="35">
        <v>98.726896031425994</v>
      </c>
      <c r="P577" s="35"/>
      <c r="Q577" s="35"/>
      <c r="R577" s="35">
        <f t="shared" si="64"/>
        <v>98.726896031425994</v>
      </c>
      <c r="S577" s="2">
        <f t="shared" si="65"/>
        <v>8.5168129771761553E-2</v>
      </c>
    </row>
    <row r="578" spans="1:19" x14ac:dyDescent="0.25">
      <c r="A578" s="230"/>
      <c r="B578" s="230"/>
      <c r="C578" s="230"/>
      <c r="D578" s="230"/>
      <c r="E578" s="230"/>
      <c r="F578" s="221"/>
      <c r="G578" s="222"/>
      <c r="H578" s="221"/>
      <c r="I578" s="222"/>
      <c r="J578" s="230"/>
      <c r="K578" s="43"/>
      <c r="L578" s="241"/>
      <c r="M578" s="43" t="s">
        <v>1063</v>
      </c>
      <c r="N578" s="1">
        <f t="shared" si="66"/>
        <v>1260</v>
      </c>
      <c r="O578" s="35">
        <v>151.38124058151999</v>
      </c>
      <c r="P578" s="35"/>
      <c r="Q578" s="35"/>
      <c r="R578" s="35">
        <f t="shared" si="64"/>
        <v>151.38124058151999</v>
      </c>
      <c r="S578" s="2">
        <f t="shared" si="65"/>
        <v>0.13059113231670116</v>
      </c>
    </row>
    <row r="579" spans="1:19" x14ac:dyDescent="0.25">
      <c r="A579" s="230"/>
      <c r="B579" s="230"/>
      <c r="C579" s="230"/>
      <c r="D579" s="230"/>
      <c r="E579" s="230"/>
      <c r="F579" s="221"/>
      <c r="G579" s="222"/>
      <c r="H579" s="221"/>
      <c r="I579" s="222"/>
      <c r="J579" s="230"/>
      <c r="K579" s="43"/>
      <c r="L579" s="241"/>
      <c r="M579" s="43" t="s">
        <v>1064</v>
      </c>
      <c r="N579" s="1">
        <f t="shared" si="66"/>
        <v>1260</v>
      </c>
      <c r="O579" s="35">
        <v>266.56261928484997</v>
      </c>
      <c r="P579" s="35"/>
      <c r="Q579" s="35"/>
      <c r="R579" s="35">
        <f t="shared" si="64"/>
        <v>266.56261928484997</v>
      </c>
      <c r="S579" s="2">
        <f t="shared" si="65"/>
        <v>0.22995395038375602</v>
      </c>
    </row>
    <row r="580" spans="1:19" x14ac:dyDescent="0.25">
      <c r="A580" s="230"/>
      <c r="B580" s="230"/>
      <c r="C580" s="230"/>
      <c r="D580" s="230"/>
      <c r="E580" s="230"/>
      <c r="F580" s="221"/>
      <c r="G580" s="222"/>
      <c r="H580" s="221"/>
      <c r="I580" s="222"/>
      <c r="J580" s="230"/>
      <c r="K580" s="43"/>
      <c r="L580" s="241"/>
      <c r="M580" s="43" t="s">
        <v>1065</v>
      </c>
      <c r="N580" s="1">
        <f t="shared" si="66"/>
        <v>1260</v>
      </c>
      <c r="O580" s="35">
        <v>49.363448015712997</v>
      </c>
      <c r="P580" s="35"/>
      <c r="Q580" s="35"/>
      <c r="R580" s="35">
        <f t="shared" si="64"/>
        <v>49.363448015712997</v>
      </c>
      <c r="S580" s="2">
        <f t="shared" si="65"/>
        <v>4.2584064885880776E-2</v>
      </c>
    </row>
    <row r="581" spans="1:19" x14ac:dyDescent="0.25">
      <c r="A581" s="231"/>
      <c r="B581" s="230"/>
      <c r="C581" s="230"/>
      <c r="D581" s="230"/>
      <c r="E581" s="230"/>
      <c r="F581" s="223"/>
      <c r="G581" s="224"/>
      <c r="H581" s="221"/>
      <c r="I581" s="222"/>
      <c r="J581" s="231"/>
      <c r="K581" s="43"/>
      <c r="L581" s="242"/>
      <c r="M581" s="43" t="s">
        <v>344</v>
      </c>
      <c r="N581" s="86">
        <f>2*400</f>
        <v>800</v>
      </c>
      <c r="O581" s="35">
        <v>182.97384731157601</v>
      </c>
      <c r="P581" s="35"/>
      <c r="Q581" s="35"/>
      <c r="R581" s="35">
        <f t="shared" si="64"/>
        <v>182.97384731157601</v>
      </c>
      <c r="S581" s="2">
        <f t="shared" si="65"/>
        <v>0.24860577080377175</v>
      </c>
    </row>
    <row r="582" spans="1:19" hidden="1" x14ac:dyDescent="0.25">
      <c r="A582" s="229">
        <f t="shared" ref="A582" si="67">A570+1</f>
        <v>11</v>
      </c>
      <c r="B582" s="230"/>
      <c r="C582" s="230"/>
      <c r="D582" s="230"/>
      <c r="E582" s="230"/>
      <c r="F582" s="219" t="s">
        <v>81</v>
      </c>
      <c r="G582" s="220"/>
      <c r="H582" s="221"/>
      <c r="I582" s="222"/>
      <c r="J582" s="229"/>
      <c r="K582" s="43"/>
      <c r="L582" s="240">
        <f>SUM(S582:S605)</f>
        <v>7.4296639237158164</v>
      </c>
      <c r="M582" s="43"/>
      <c r="N582" s="14"/>
      <c r="O582" s="35">
        <v>0</v>
      </c>
      <c r="P582" s="35"/>
      <c r="Q582" s="35"/>
      <c r="R582" s="35">
        <f t="shared" si="64"/>
        <v>0</v>
      </c>
      <c r="S582" s="35"/>
    </row>
    <row r="583" spans="1:19" x14ac:dyDescent="0.25">
      <c r="A583" s="230"/>
      <c r="B583" s="230"/>
      <c r="C583" s="230"/>
      <c r="D583" s="230"/>
      <c r="E583" s="230"/>
      <c r="F583" s="221"/>
      <c r="G583" s="222"/>
      <c r="H583" s="221"/>
      <c r="I583" s="222"/>
      <c r="J583" s="230"/>
      <c r="K583" s="43"/>
      <c r="L583" s="241"/>
      <c r="M583" s="43" t="s">
        <v>151</v>
      </c>
      <c r="N583" s="14">
        <v>250</v>
      </c>
      <c r="O583" s="35">
        <v>34.225323957561002</v>
      </c>
      <c r="P583" s="35"/>
      <c r="Q583" s="35"/>
      <c r="R583" s="35">
        <f t="shared" si="64"/>
        <v>34.225323957561002</v>
      </c>
      <c r="S583" s="2">
        <f t="shared" ref="S583:S605" si="68">R583/(N583*0.92)</f>
        <v>0.14880575633722176</v>
      </c>
    </row>
    <row r="584" spans="1:19" x14ac:dyDescent="0.25">
      <c r="A584" s="230"/>
      <c r="B584" s="230"/>
      <c r="C584" s="230"/>
      <c r="D584" s="230"/>
      <c r="E584" s="230"/>
      <c r="F584" s="221"/>
      <c r="G584" s="222"/>
      <c r="H584" s="221"/>
      <c r="I584" s="222"/>
      <c r="J584" s="230"/>
      <c r="K584" s="43"/>
      <c r="L584" s="241"/>
      <c r="M584" s="43" t="s">
        <v>1066</v>
      </c>
      <c r="N584" s="14">
        <v>250</v>
      </c>
      <c r="O584" s="35">
        <v>24.352634354418399</v>
      </c>
      <c r="P584" s="35"/>
      <c r="Q584" s="35"/>
      <c r="R584" s="35">
        <f t="shared" si="64"/>
        <v>24.352634354418399</v>
      </c>
      <c r="S584" s="2">
        <f t="shared" si="68"/>
        <v>0.10588101893225391</v>
      </c>
    </row>
    <row r="585" spans="1:19" x14ac:dyDescent="0.25">
      <c r="A585" s="230"/>
      <c r="B585" s="230"/>
      <c r="C585" s="230"/>
      <c r="D585" s="230"/>
      <c r="E585" s="230"/>
      <c r="F585" s="221"/>
      <c r="G585" s="222"/>
      <c r="H585" s="221"/>
      <c r="I585" s="222"/>
      <c r="J585" s="230"/>
      <c r="K585" s="43"/>
      <c r="L585" s="241"/>
      <c r="M585" s="43" t="s">
        <v>295</v>
      </c>
      <c r="N585" s="14">
        <f>400+630</f>
        <v>1030</v>
      </c>
      <c r="O585" s="35">
        <v>200.74468859723299</v>
      </c>
      <c r="P585" s="35"/>
      <c r="Q585" s="35">
        <f>6+6</f>
        <v>12</v>
      </c>
      <c r="R585" s="35">
        <f t="shared" si="64"/>
        <v>212.74468859723299</v>
      </c>
      <c r="S585" s="2">
        <f t="shared" si="68"/>
        <v>0.22450895799623574</v>
      </c>
    </row>
    <row r="586" spans="1:19" x14ac:dyDescent="0.25">
      <c r="A586" s="230"/>
      <c r="B586" s="230"/>
      <c r="C586" s="230"/>
      <c r="D586" s="230"/>
      <c r="E586" s="230"/>
      <c r="F586" s="221"/>
      <c r="G586" s="222"/>
      <c r="H586" s="221"/>
      <c r="I586" s="222"/>
      <c r="J586" s="230"/>
      <c r="K586" s="43"/>
      <c r="L586" s="241"/>
      <c r="M586" s="43" t="s">
        <v>152</v>
      </c>
      <c r="N586" s="86">
        <f>2*400</f>
        <v>800</v>
      </c>
      <c r="O586" s="35">
        <v>119.130454544587</v>
      </c>
      <c r="P586" s="35"/>
      <c r="Q586" s="35"/>
      <c r="R586" s="35">
        <f t="shared" si="64"/>
        <v>119.130454544587</v>
      </c>
      <c r="S586" s="2">
        <f t="shared" si="68"/>
        <v>0.16186203063123233</v>
      </c>
    </row>
    <row r="587" spans="1:19" x14ac:dyDescent="0.25">
      <c r="A587" s="230"/>
      <c r="B587" s="230"/>
      <c r="C587" s="230"/>
      <c r="D587" s="230"/>
      <c r="E587" s="230"/>
      <c r="F587" s="221"/>
      <c r="G587" s="222"/>
      <c r="H587" s="221"/>
      <c r="I587" s="222"/>
      <c r="J587" s="230"/>
      <c r="K587" s="43"/>
      <c r="L587" s="241"/>
      <c r="M587" s="43" t="s">
        <v>153</v>
      </c>
      <c r="N587" s="14">
        <v>400</v>
      </c>
      <c r="O587" s="35">
        <v>90.170565042035705</v>
      </c>
      <c r="P587" s="35"/>
      <c r="Q587" s="35"/>
      <c r="R587" s="35">
        <f t="shared" si="64"/>
        <v>90.170565042035705</v>
      </c>
      <c r="S587" s="2">
        <f t="shared" si="68"/>
        <v>0.24502870935335788</v>
      </c>
    </row>
    <row r="588" spans="1:19" x14ac:dyDescent="0.25">
      <c r="A588" s="230"/>
      <c r="B588" s="230"/>
      <c r="C588" s="230"/>
      <c r="D588" s="230"/>
      <c r="E588" s="230"/>
      <c r="F588" s="221"/>
      <c r="G588" s="222"/>
      <c r="H588" s="221"/>
      <c r="I588" s="222"/>
      <c r="J588" s="230"/>
      <c r="K588" s="43"/>
      <c r="L588" s="241"/>
      <c r="M588" s="43" t="s">
        <v>299</v>
      </c>
      <c r="N588" s="86">
        <f>2*400</f>
        <v>800</v>
      </c>
      <c r="O588" s="35">
        <v>185.60656453908101</v>
      </c>
      <c r="P588" s="35"/>
      <c r="Q588" s="35">
        <f>11+75</f>
        <v>86</v>
      </c>
      <c r="R588" s="35">
        <f t="shared" si="64"/>
        <v>271.60656453908098</v>
      </c>
      <c r="S588" s="2">
        <f t="shared" si="68"/>
        <v>0.36903065834114263</v>
      </c>
    </row>
    <row r="589" spans="1:19" x14ac:dyDescent="0.25">
      <c r="A589" s="230"/>
      <c r="B589" s="230"/>
      <c r="C589" s="230"/>
      <c r="D589" s="230"/>
      <c r="E589" s="230"/>
      <c r="F589" s="221"/>
      <c r="G589" s="222"/>
      <c r="H589" s="221"/>
      <c r="I589" s="222"/>
      <c r="J589" s="230"/>
      <c r="K589" s="43"/>
      <c r="L589" s="241"/>
      <c r="M589" s="43" t="s">
        <v>154</v>
      </c>
      <c r="N589" s="14">
        <v>400</v>
      </c>
      <c r="O589" s="35">
        <v>89.512385735159597</v>
      </c>
      <c r="P589" s="35"/>
      <c r="Q589" s="35"/>
      <c r="R589" s="35">
        <f t="shared" si="64"/>
        <v>89.512385735159597</v>
      </c>
      <c r="S589" s="2">
        <f t="shared" si="68"/>
        <v>0.24324017862815109</v>
      </c>
    </row>
    <row r="590" spans="1:19" ht="31.5" x14ac:dyDescent="0.25">
      <c r="A590" s="230"/>
      <c r="B590" s="230"/>
      <c r="C590" s="230"/>
      <c r="D590" s="230"/>
      <c r="E590" s="230"/>
      <c r="F590" s="221"/>
      <c r="G590" s="222"/>
      <c r="H590" s="221"/>
      <c r="I590" s="222"/>
      <c r="J590" s="230"/>
      <c r="K590" s="43"/>
      <c r="L590" s="241"/>
      <c r="M590" s="43" t="s">
        <v>304</v>
      </c>
      <c r="N590" s="1">
        <f>2*630</f>
        <v>1260</v>
      </c>
      <c r="O590" s="35">
        <v>354</v>
      </c>
      <c r="P590" s="35"/>
      <c r="Q590" s="35"/>
      <c r="R590" s="35">
        <f t="shared" si="64"/>
        <v>354</v>
      </c>
      <c r="S590" s="2">
        <f t="shared" si="68"/>
        <v>0.30538302277432711</v>
      </c>
    </row>
    <row r="591" spans="1:19" x14ac:dyDescent="0.25">
      <c r="A591" s="230"/>
      <c r="B591" s="230"/>
      <c r="C591" s="230"/>
      <c r="D591" s="230"/>
      <c r="E591" s="230"/>
      <c r="F591" s="221"/>
      <c r="G591" s="222"/>
      <c r="H591" s="221"/>
      <c r="I591" s="222"/>
      <c r="J591" s="230"/>
      <c r="K591" s="43"/>
      <c r="L591" s="241"/>
      <c r="M591" s="43" t="s">
        <v>155</v>
      </c>
      <c r="N591" s="14">
        <v>560</v>
      </c>
      <c r="O591" s="35">
        <v>38.832579105694201</v>
      </c>
      <c r="P591" s="35"/>
      <c r="Q591" s="35"/>
      <c r="R591" s="35">
        <f t="shared" si="64"/>
        <v>38.832579105694201</v>
      </c>
      <c r="S591" s="2">
        <f t="shared" si="68"/>
        <v>7.5373794848008921E-2</v>
      </c>
    </row>
    <row r="592" spans="1:19" x14ac:dyDescent="0.25">
      <c r="A592" s="230"/>
      <c r="B592" s="230"/>
      <c r="C592" s="230"/>
      <c r="D592" s="230"/>
      <c r="E592" s="230"/>
      <c r="F592" s="221"/>
      <c r="G592" s="222"/>
      <c r="H592" s="221"/>
      <c r="I592" s="222"/>
      <c r="J592" s="230"/>
      <c r="K592" s="43"/>
      <c r="L592" s="241"/>
      <c r="M592" s="43" t="s">
        <v>307</v>
      </c>
      <c r="N592" s="86">
        <f>2*400</f>
        <v>800</v>
      </c>
      <c r="O592" s="35">
        <v>143.48308889900599</v>
      </c>
      <c r="P592" s="35"/>
      <c r="Q592" s="35"/>
      <c r="R592" s="35">
        <f t="shared" si="64"/>
        <v>143.48308889900599</v>
      </c>
      <c r="S592" s="2">
        <f t="shared" si="68"/>
        <v>0.19494984904756249</v>
      </c>
    </row>
    <row r="593" spans="1:19" ht="31.5" x14ac:dyDescent="0.25">
      <c r="A593" s="230"/>
      <c r="B593" s="230"/>
      <c r="C593" s="230"/>
      <c r="D593" s="230"/>
      <c r="E593" s="230"/>
      <c r="F593" s="221"/>
      <c r="G593" s="222"/>
      <c r="H593" s="221"/>
      <c r="I593" s="222"/>
      <c r="J593" s="230"/>
      <c r="K593" s="43"/>
      <c r="L593" s="241"/>
      <c r="M593" s="43" t="s">
        <v>311</v>
      </c>
      <c r="N593" s="1">
        <f>2*630</f>
        <v>1260</v>
      </c>
      <c r="O593" s="35">
        <v>485.73632847461602</v>
      </c>
      <c r="P593" s="35"/>
      <c r="Q593" s="35"/>
      <c r="R593" s="35">
        <f t="shared" si="64"/>
        <v>485.73632847461602</v>
      </c>
      <c r="S593" s="2">
        <f t="shared" si="68"/>
        <v>0.41902719847706693</v>
      </c>
    </row>
    <row r="594" spans="1:19" x14ac:dyDescent="0.25">
      <c r="A594" s="230"/>
      <c r="B594" s="230"/>
      <c r="C594" s="230"/>
      <c r="D594" s="230"/>
      <c r="E594" s="230"/>
      <c r="F594" s="221"/>
      <c r="G594" s="222"/>
      <c r="H594" s="221"/>
      <c r="I594" s="222"/>
      <c r="J594" s="230"/>
      <c r="K594" s="43"/>
      <c r="L594" s="241"/>
      <c r="M594" s="43" t="s">
        <v>353</v>
      </c>
      <c r="N594" s="14">
        <v>250</v>
      </c>
      <c r="O594" s="35">
        <v>144</v>
      </c>
      <c r="P594" s="35"/>
      <c r="Q594" s="35"/>
      <c r="R594" s="35">
        <f t="shared" si="64"/>
        <v>144</v>
      </c>
      <c r="S594" s="2">
        <f t="shared" si="68"/>
        <v>0.62608695652173918</v>
      </c>
    </row>
    <row r="595" spans="1:19" x14ac:dyDescent="0.25">
      <c r="A595" s="230"/>
      <c r="B595" s="230"/>
      <c r="C595" s="230"/>
      <c r="D595" s="230"/>
      <c r="E595" s="230"/>
      <c r="F595" s="221"/>
      <c r="G595" s="222"/>
      <c r="H595" s="221"/>
      <c r="I595" s="222"/>
      <c r="J595" s="230"/>
      <c r="K595" s="43"/>
      <c r="L595" s="241"/>
      <c r="M595" s="43" t="s">
        <v>170</v>
      </c>
      <c r="N595" s="14">
        <v>630</v>
      </c>
      <c r="O595" s="35">
        <v>1.9745379206285201</v>
      </c>
      <c r="P595" s="35"/>
      <c r="Q595" s="35">
        <f>11+11+2+15+3+5</f>
        <v>47</v>
      </c>
      <c r="R595" s="35">
        <f t="shared" si="64"/>
        <v>48.974537920628521</v>
      </c>
      <c r="S595" s="2">
        <f t="shared" si="68"/>
        <v>8.4497132368234154E-2</v>
      </c>
    </row>
    <row r="596" spans="1:19" x14ac:dyDescent="0.25">
      <c r="A596" s="230"/>
      <c r="B596" s="230"/>
      <c r="C596" s="230"/>
      <c r="D596" s="230"/>
      <c r="E596" s="230"/>
      <c r="F596" s="221"/>
      <c r="G596" s="222"/>
      <c r="H596" s="221"/>
      <c r="I596" s="222"/>
      <c r="J596" s="230"/>
      <c r="K596" s="43"/>
      <c r="L596" s="241"/>
      <c r="M596" s="43" t="s">
        <v>408</v>
      </c>
      <c r="N596" s="14">
        <v>630</v>
      </c>
      <c r="O596" s="35">
        <v>98.726896031425994</v>
      </c>
      <c r="P596" s="35"/>
      <c r="Q596" s="35"/>
      <c r="R596" s="35">
        <f t="shared" si="64"/>
        <v>98.726896031425994</v>
      </c>
      <c r="S596" s="2">
        <f t="shared" si="68"/>
        <v>0.17033625954352311</v>
      </c>
    </row>
    <row r="597" spans="1:19" x14ac:dyDescent="0.25">
      <c r="A597" s="230"/>
      <c r="B597" s="230"/>
      <c r="C597" s="230"/>
      <c r="D597" s="230"/>
      <c r="E597" s="230"/>
      <c r="F597" s="221"/>
      <c r="G597" s="222"/>
      <c r="H597" s="221"/>
      <c r="I597" s="222"/>
      <c r="J597" s="230"/>
      <c r="K597" s="43"/>
      <c r="L597" s="241"/>
      <c r="M597" s="43" t="s">
        <v>172</v>
      </c>
      <c r="N597" s="14">
        <v>250</v>
      </c>
      <c r="O597" s="35">
        <v>7.8981516825140803</v>
      </c>
      <c r="P597" s="35"/>
      <c r="Q597" s="35"/>
      <c r="R597" s="35">
        <f t="shared" si="64"/>
        <v>7.8981516825140803</v>
      </c>
      <c r="S597" s="2">
        <f t="shared" si="68"/>
        <v>3.4339789923974261E-2</v>
      </c>
    </row>
    <row r="598" spans="1:19" x14ac:dyDescent="0.25">
      <c r="A598" s="230"/>
      <c r="B598" s="230"/>
      <c r="C598" s="230"/>
      <c r="D598" s="230"/>
      <c r="E598" s="230"/>
      <c r="F598" s="221"/>
      <c r="G598" s="222"/>
      <c r="H598" s="221"/>
      <c r="I598" s="222"/>
      <c r="J598" s="230"/>
      <c r="K598" s="43"/>
      <c r="L598" s="241"/>
      <c r="M598" s="43" t="s">
        <v>340</v>
      </c>
      <c r="N598" s="86">
        <f>2*400</f>
        <v>800</v>
      </c>
      <c r="O598" s="35">
        <v>380.427639374428</v>
      </c>
      <c r="P598" s="35"/>
      <c r="Q598" s="35"/>
      <c r="R598" s="35">
        <f t="shared" si="64"/>
        <v>380.427639374428</v>
      </c>
      <c r="S598" s="2">
        <f t="shared" si="68"/>
        <v>0.51688537958482061</v>
      </c>
    </row>
    <row r="599" spans="1:19" x14ac:dyDescent="0.25">
      <c r="A599" s="230"/>
      <c r="B599" s="230"/>
      <c r="C599" s="230"/>
      <c r="D599" s="230"/>
      <c r="E599" s="230"/>
      <c r="F599" s="221"/>
      <c r="G599" s="222"/>
      <c r="H599" s="221"/>
      <c r="I599" s="222"/>
      <c r="J599" s="230"/>
      <c r="K599" s="43"/>
      <c r="L599" s="241"/>
      <c r="M599" s="43" t="s">
        <v>374</v>
      </c>
      <c r="N599" s="14">
        <v>100</v>
      </c>
      <c r="O599" s="35">
        <v>73.057903063255196</v>
      </c>
      <c r="P599" s="35"/>
      <c r="Q599" s="35"/>
      <c r="R599" s="35">
        <f t="shared" si="64"/>
        <v>73.057903063255196</v>
      </c>
      <c r="S599" s="2">
        <f t="shared" si="68"/>
        <v>0.79410764199190431</v>
      </c>
    </row>
    <row r="600" spans="1:19" x14ac:dyDescent="0.25">
      <c r="A600" s="230"/>
      <c r="B600" s="230"/>
      <c r="C600" s="230"/>
      <c r="D600" s="230"/>
      <c r="E600" s="230"/>
      <c r="F600" s="221"/>
      <c r="G600" s="222"/>
      <c r="H600" s="221"/>
      <c r="I600" s="222"/>
      <c r="J600" s="230"/>
      <c r="K600" s="43"/>
      <c r="L600" s="241"/>
      <c r="M600" s="43" t="s">
        <v>375</v>
      </c>
      <c r="N600" s="14">
        <v>400</v>
      </c>
      <c r="O600" s="35">
        <v>57.261599698227101</v>
      </c>
      <c r="P600" s="35"/>
      <c r="Q600" s="35"/>
      <c r="R600" s="35">
        <f t="shared" si="64"/>
        <v>57.261599698227101</v>
      </c>
      <c r="S600" s="2">
        <f t="shared" si="68"/>
        <v>0.15560217309300842</v>
      </c>
    </row>
    <row r="601" spans="1:19" x14ac:dyDescent="0.25">
      <c r="A601" s="230"/>
      <c r="B601" s="230"/>
      <c r="C601" s="230"/>
      <c r="D601" s="230"/>
      <c r="E601" s="230"/>
      <c r="F601" s="221"/>
      <c r="G601" s="222"/>
      <c r="H601" s="221"/>
      <c r="I601" s="222"/>
      <c r="J601" s="230"/>
      <c r="K601" s="43"/>
      <c r="L601" s="241"/>
      <c r="M601" s="43" t="s">
        <v>351</v>
      </c>
      <c r="N601" s="1">
        <f>2*630</f>
        <v>1260</v>
      </c>
      <c r="O601" s="35">
        <v>474.54728025772101</v>
      </c>
      <c r="P601" s="35"/>
      <c r="Q601" s="35"/>
      <c r="R601" s="35">
        <f t="shared" si="64"/>
        <v>474.54728025772101</v>
      </c>
      <c r="S601" s="2">
        <f t="shared" si="68"/>
        <v>0.40937481043626722</v>
      </c>
    </row>
    <row r="602" spans="1:19" x14ac:dyDescent="0.25">
      <c r="A602" s="230"/>
      <c r="B602" s="230"/>
      <c r="C602" s="230"/>
      <c r="D602" s="230"/>
      <c r="E602" s="230"/>
      <c r="F602" s="221"/>
      <c r="G602" s="222"/>
      <c r="H602" s="221"/>
      <c r="I602" s="222"/>
      <c r="J602" s="230"/>
      <c r="K602" s="43"/>
      <c r="L602" s="241"/>
      <c r="M602" s="43" t="s">
        <v>352</v>
      </c>
      <c r="N602" s="14">
        <v>100</v>
      </c>
      <c r="O602" s="35">
        <v>56.603420391350902</v>
      </c>
      <c r="P602" s="35"/>
      <c r="Q602" s="35"/>
      <c r="R602" s="35">
        <f t="shared" si="64"/>
        <v>56.603420391350902</v>
      </c>
      <c r="S602" s="2">
        <f t="shared" si="68"/>
        <v>0.61525456947120549</v>
      </c>
    </row>
    <row r="603" spans="1:19" x14ac:dyDescent="0.25">
      <c r="A603" s="230"/>
      <c r="B603" s="230"/>
      <c r="C603" s="230"/>
      <c r="D603" s="230"/>
      <c r="E603" s="230"/>
      <c r="F603" s="221"/>
      <c r="G603" s="222"/>
      <c r="H603" s="221"/>
      <c r="I603" s="222"/>
      <c r="J603" s="230"/>
      <c r="K603" s="43"/>
      <c r="L603" s="241"/>
      <c r="M603" s="43" t="s">
        <v>356</v>
      </c>
      <c r="N603" s="14">
        <v>160</v>
      </c>
      <c r="O603" s="35">
        <v>107.94140632769199</v>
      </c>
      <c r="P603" s="35"/>
      <c r="Q603" s="35"/>
      <c r="R603" s="35">
        <f t="shared" si="64"/>
        <v>107.94140632769199</v>
      </c>
      <c r="S603" s="2">
        <f t="shared" si="68"/>
        <v>0.73329759733486399</v>
      </c>
    </row>
    <row r="604" spans="1:19" x14ac:dyDescent="0.25">
      <c r="A604" s="230"/>
      <c r="B604" s="230"/>
      <c r="C604" s="230"/>
      <c r="D604" s="230"/>
      <c r="E604" s="230"/>
      <c r="F604" s="221"/>
      <c r="G604" s="222"/>
      <c r="H604" s="221"/>
      <c r="I604" s="222"/>
      <c r="J604" s="230"/>
      <c r="K604" s="43"/>
      <c r="L604" s="241"/>
      <c r="M604" s="43" t="s">
        <v>1067</v>
      </c>
      <c r="N604" s="14">
        <v>100</v>
      </c>
      <c r="O604" s="35">
        <v>67.134289301369705</v>
      </c>
      <c r="P604" s="35"/>
      <c r="Q604" s="35"/>
      <c r="R604" s="35">
        <f t="shared" si="64"/>
        <v>67.134289301369705</v>
      </c>
      <c r="S604" s="2">
        <f t="shared" si="68"/>
        <v>0.72972053588445329</v>
      </c>
    </row>
    <row r="605" spans="1:19" x14ac:dyDescent="0.25">
      <c r="A605" s="231"/>
      <c r="B605" s="230"/>
      <c r="C605" s="230"/>
      <c r="D605" s="230"/>
      <c r="E605" s="230"/>
      <c r="F605" s="221"/>
      <c r="G605" s="222"/>
      <c r="H605" s="221"/>
      <c r="I605" s="222"/>
      <c r="J605" s="230"/>
      <c r="K605" s="99"/>
      <c r="L605" s="241"/>
      <c r="M605" s="99" t="s">
        <v>368</v>
      </c>
      <c r="N605" s="86">
        <f>2*400</f>
        <v>800</v>
      </c>
      <c r="O605" s="145">
        <v>49.363448015712997</v>
      </c>
      <c r="P605" s="145"/>
      <c r="Q605" s="145"/>
      <c r="R605" s="145">
        <f t="shared" si="64"/>
        <v>49.363448015712997</v>
      </c>
      <c r="S605" s="2">
        <f t="shared" si="68"/>
        <v>6.7069902195262224E-2</v>
      </c>
    </row>
    <row r="606" spans="1:19" ht="15.75" hidden="1" customHeight="1" thickBot="1" x14ac:dyDescent="0.3">
      <c r="A606" s="102"/>
      <c r="B606" s="184" t="s">
        <v>62</v>
      </c>
      <c r="C606" s="185"/>
      <c r="D606" s="185"/>
      <c r="E606" s="185"/>
      <c r="F606" s="185"/>
      <c r="G606" s="185"/>
      <c r="H606" s="185"/>
      <c r="I606" s="185"/>
      <c r="J606" s="185"/>
      <c r="K606" s="185"/>
      <c r="L606" s="185"/>
      <c r="M606" s="185"/>
      <c r="N606" s="185"/>
      <c r="O606" s="185"/>
      <c r="P606" s="185"/>
      <c r="Q606" s="185"/>
      <c r="R606" s="185"/>
      <c r="S606" s="186"/>
    </row>
    <row r="607" spans="1:19" ht="15.75" customHeight="1" x14ac:dyDescent="0.25">
      <c r="A607" s="229">
        <v>12</v>
      </c>
      <c r="B607" s="230" t="s">
        <v>60</v>
      </c>
      <c r="C607" s="230" t="s">
        <v>63</v>
      </c>
      <c r="D607" s="230" t="s">
        <v>3</v>
      </c>
      <c r="E607" s="230"/>
      <c r="F607" s="221" t="s">
        <v>82</v>
      </c>
      <c r="G607" s="222"/>
      <c r="H607" s="221" t="s">
        <v>709</v>
      </c>
      <c r="I607" s="222"/>
      <c r="J607" s="230"/>
      <c r="K607" s="100"/>
      <c r="L607" s="241">
        <f>SUM(S607:S613)</f>
        <v>2.2957296494991049</v>
      </c>
      <c r="M607" s="100" t="s">
        <v>163</v>
      </c>
      <c r="N607" s="101">
        <v>400</v>
      </c>
      <c r="O607" s="146">
        <v>69.767006528874404</v>
      </c>
      <c r="P607" s="146"/>
      <c r="Q607" s="146"/>
      <c r="R607" s="146">
        <f>O607+P607+Q607</f>
        <v>69.767006528874404</v>
      </c>
      <c r="S607" s="2">
        <f t="shared" ref="S607:S670" si="69">R607/(N607*0.92)</f>
        <v>0.1895842568719413</v>
      </c>
    </row>
    <row r="608" spans="1:19" x14ac:dyDescent="0.25">
      <c r="A608" s="230"/>
      <c r="B608" s="230"/>
      <c r="C608" s="230"/>
      <c r="D608" s="230"/>
      <c r="E608" s="230"/>
      <c r="F608" s="221"/>
      <c r="G608" s="222"/>
      <c r="H608" s="221"/>
      <c r="I608" s="222"/>
      <c r="J608" s="230"/>
      <c r="K608" s="43"/>
      <c r="L608" s="241"/>
      <c r="M608" s="43" t="s">
        <v>320</v>
      </c>
      <c r="N608" s="14">
        <v>400</v>
      </c>
      <c r="O608" s="35">
        <v>63.1852134601126</v>
      </c>
      <c r="P608" s="35"/>
      <c r="Q608" s="35"/>
      <c r="R608" s="146">
        <f t="shared" ref="R608:R671" si="70">O608+P608+Q608</f>
        <v>63.1852134601126</v>
      </c>
      <c r="S608" s="2">
        <f t="shared" si="69"/>
        <v>0.1716989496198712</v>
      </c>
    </row>
    <row r="609" spans="1:19" x14ac:dyDescent="0.25">
      <c r="A609" s="230"/>
      <c r="B609" s="230"/>
      <c r="C609" s="230"/>
      <c r="D609" s="230"/>
      <c r="E609" s="230"/>
      <c r="F609" s="221"/>
      <c r="G609" s="222"/>
      <c r="H609" s="221"/>
      <c r="I609" s="222"/>
      <c r="J609" s="230"/>
      <c r="K609" s="43"/>
      <c r="L609" s="241"/>
      <c r="M609" s="43" t="s">
        <v>321</v>
      </c>
      <c r="N609" s="1">
        <f>2*1000</f>
        <v>2000</v>
      </c>
      <c r="O609" s="35">
        <v>673.31743093432499</v>
      </c>
      <c r="P609" s="35"/>
      <c r="Q609" s="35"/>
      <c r="R609" s="146">
        <f t="shared" si="70"/>
        <v>673.31743093432499</v>
      </c>
      <c r="S609" s="2">
        <f t="shared" si="69"/>
        <v>0.36593338637735051</v>
      </c>
    </row>
    <row r="610" spans="1:19" x14ac:dyDescent="0.25">
      <c r="A610" s="230"/>
      <c r="B610" s="230"/>
      <c r="C610" s="230"/>
      <c r="D610" s="230"/>
      <c r="E610" s="230"/>
      <c r="F610" s="221"/>
      <c r="G610" s="222"/>
      <c r="H610" s="221"/>
      <c r="I610" s="222"/>
      <c r="J610" s="230"/>
      <c r="K610" s="43"/>
      <c r="L610" s="241"/>
      <c r="M610" s="43" t="s">
        <v>322</v>
      </c>
      <c r="N610" s="14">
        <v>400</v>
      </c>
      <c r="O610" s="35">
        <v>188.89746107346201</v>
      </c>
      <c r="P610" s="35"/>
      <c r="Q610" s="35"/>
      <c r="R610" s="146">
        <f t="shared" si="70"/>
        <v>188.89746107346201</v>
      </c>
      <c r="S610" s="2">
        <f t="shared" si="69"/>
        <v>0.51330831813440769</v>
      </c>
    </row>
    <row r="611" spans="1:19" x14ac:dyDescent="0.25">
      <c r="A611" s="230"/>
      <c r="B611" s="230"/>
      <c r="C611" s="230"/>
      <c r="D611" s="230"/>
      <c r="E611" s="230"/>
      <c r="F611" s="221"/>
      <c r="G611" s="222"/>
      <c r="H611" s="221"/>
      <c r="I611" s="222"/>
      <c r="J611" s="230"/>
      <c r="K611" s="43"/>
      <c r="L611" s="241"/>
      <c r="M611" s="43" t="s">
        <v>339</v>
      </c>
      <c r="N611" s="14">
        <v>400</v>
      </c>
      <c r="O611" s="35">
        <v>278.40984680862101</v>
      </c>
      <c r="P611" s="35"/>
      <c r="Q611" s="35"/>
      <c r="R611" s="146">
        <f t="shared" si="70"/>
        <v>278.40984680862101</v>
      </c>
      <c r="S611" s="2">
        <f t="shared" si="69"/>
        <v>0.75654849676255709</v>
      </c>
    </row>
    <row r="612" spans="1:19" x14ac:dyDescent="0.25">
      <c r="A612" s="230"/>
      <c r="B612" s="230"/>
      <c r="C612" s="230"/>
      <c r="D612" s="230"/>
      <c r="E612" s="230"/>
      <c r="F612" s="221"/>
      <c r="G612" s="222"/>
      <c r="H612" s="221"/>
      <c r="I612" s="222"/>
      <c r="J612" s="230"/>
      <c r="K612" s="43"/>
      <c r="L612" s="241"/>
      <c r="M612" s="43" t="s">
        <v>378</v>
      </c>
      <c r="N612" s="14">
        <v>630</v>
      </c>
      <c r="O612" s="35">
        <v>113.865020089578</v>
      </c>
      <c r="P612" s="35"/>
      <c r="Q612" s="35"/>
      <c r="R612" s="146">
        <f t="shared" si="70"/>
        <v>113.865020089578</v>
      </c>
      <c r="S612" s="2">
        <f t="shared" si="69"/>
        <v>0.19645448600686333</v>
      </c>
    </row>
    <row r="613" spans="1:19" x14ac:dyDescent="0.25">
      <c r="A613" s="231"/>
      <c r="B613" s="230"/>
      <c r="C613" s="230"/>
      <c r="D613" s="230"/>
      <c r="E613" s="230"/>
      <c r="F613" s="223"/>
      <c r="G613" s="224"/>
      <c r="H613" s="223"/>
      <c r="I613" s="224"/>
      <c r="J613" s="231"/>
      <c r="K613" s="43"/>
      <c r="L613" s="242"/>
      <c r="M613" s="43" t="s">
        <v>377</v>
      </c>
      <c r="N613" s="14">
        <v>630</v>
      </c>
      <c r="O613" s="35">
        <v>59.236137618855601</v>
      </c>
      <c r="P613" s="35"/>
      <c r="Q613" s="35"/>
      <c r="R613" s="146">
        <f t="shared" si="70"/>
        <v>59.236137618855601</v>
      </c>
      <c r="S613" s="2">
        <f t="shared" si="69"/>
        <v>0.10220175572611387</v>
      </c>
    </row>
    <row r="614" spans="1:19" ht="15.75" customHeight="1" x14ac:dyDescent="0.25">
      <c r="A614" s="220">
        <v>13</v>
      </c>
      <c r="B614" s="230"/>
      <c r="C614" s="230"/>
      <c r="D614" s="230"/>
      <c r="E614" s="230"/>
      <c r="F614" s="219" t="s">
        <v>83</v>
      </c>
      <c r="G614" s="220"/>
      <c r="H614" s="219" t="s">
        <v>709</v>
      </c>
      <c r="I614" s="220"/>
      <c r="J614" s="229"/>
      <c r="K614" s="43"/>
      <c r="L614" s="240">
        <f>SUM(S614:S641)</f>
        <v>10.353500601893762</v>
      </c>
      <c r="M614" s="43" t="s">
        <v>322</v>
      </c>
      <c r="N614" s="14">
        <v>400</v>
      </c>
      <c r="O614" s="35">
        <v>84.246951280150199</v>
      </c>
      <c r="P614" s="35"/>
      <c r="Q614" s="35"/>
      <c r="R614" s="146">
        <f t="shared" si="70"/>
        <v>84.246951280150199</v>
      </c>
      <c r="S614" s="2">
        <f t="shared" si="69"/>
        <v>0.2289319328264951</v>
      </c>
    </row>
    <row r="615" spans="1:19" x14ac:dyDescent="0.25">
      <c r="A615" s="222"/>
      <c r="B615" s="230"/>
      <c r="C615" s="230"/>
      <c r="D615" s="230"/>
      <c r="E615" s="230"/>
      <c r="F615" s="221"/>
      <c r="G615" s="222"/>
      <c r="H615" s="221"/>
      <c r="I615" s="222"/>
      <c r="J615" s="230"/>
      <c r="K615" s="43"/>
      <c r="L615" s="241"/>
      <c r="M615" s="43" t="s">
        <v>323</v>
      </c>
      <c r="N615" s="14">
        <v>560</v>
      </c>
      <c r="O615" s="35">
        <v>258.00628829546002</v>
      </c>
      <c r="P615" s="35"/>
      <c r="Q615" s="35"/>
      <c r="R615" s="146">
        <f t="shared" si="70"/>
        <v>258.00628829546002</v>
      </c>
      <c r="S615" s="2">
        <f t="shared" si="69"/>
        <v>0.50078860305795803</v>
      </c>
    </row>
    <row r="616" spans="1:19" x14ac:dyDescent="0.25">
      <c r="A616" s="222"/>
      <c r="B616" s="230"/>
      <c r="C616" s="230"/>
      <c r="D616" s="230"/>
      <c r="E616" s="230"/>
      <c r="F616" s="221"/>
      <c r="G616" s="222"/>
      <c r="H616" s="221"/>
      <c r="I616" s="222"/>
      <c r="J616" s="230"/>
      <c r="K616" s="43"/>
      <c r="L616" s="241"/>
      <c r="M616" s="43" t="s">
        <v>324</v>
      </c>
      <c r="N616" s="14">
        <v>630</v>
      </c>
      <c r="O616" s="35">
        <v>180.34113008407101</v>
      </c>
      <c r="P616" s="35"/>
      <c r="Q616" s="35"/>
      <c r="R616" s="146">
        <f t="shared" si="70"/>
        <v>180.34113008407101</v>
      </c>
      <c r="S616" s="2">
        <f t="shared" si="69"/>
        <v>0.31114756743283473</v>
      </c>
    </row>
    <row r="617" spans="1:19" x14ac:dyDescent="0.25">
      <c r="A617" s="222"/>
      <c r="B617" s="230"/>
      <c r="C617" s="230"/>
      <c r="D617" s="230"/>
      <c r="E617" s="230"/>
      <c r="F617" s="221"/>
      <c r="G617" s="222"/>
      <c r="H617" s="221"/>
      <c r="I617" s="222"/>
      <c r="J617" s="230"/>
      <c r="K617" s="43"/>
      <c r="L617" s="241"/>
      <c r="M617" s="43" t="s">
        <v>325</v>
      </c>
      <c r="N617" s="14">
        <v>250</v>
      </c>
      <c r="O617" s="35">
        <v>25.010813661294598</v>
      </c>
      <c r="P617" s="35"/>
      <c r="Q617" s="35"/>
      <c r="R617" s="146">
        <f t="shared" si="70"/>
        <v>25.010813661294598</v>
      </c>
      <c r="S617" s="2">
        <f t="shared" si="69"/>
        <v>0.1087426680925852</v>
      </c>
    </row>
    <row r="618" spans="1:19" x14ac:dyDescent="0.25">
      <c r="A618" s="222"/>
      <c r="B618" s="230"/>
      <c r="C618" s="230"/>
      <c r="D618" s="230"/>
      <c r="E618" s="230"/>
      <c r="F618" s="221"/>
      <c r="G618" s="222"/>
      <c r="H618" s="221"/>
      <c r="I618" s="222"/>
      <c r="J618" s="230"/>
      <c r="K618" s="43"/>
      <c r="L618" s="241"/>
      <c r="M618" s="43" t="s">
        <v>334</v>
      </c>
      <c r="N618" s="14">
        <v>400</v>
      </c>
      <c r="O618" s="35">
        <v>53.312523856970003</v>
      </c>
      <c r="P618" s="35"/>
      <c r="Q618" s="35"/>
      <c r="R618" s="146">
        <f t="shared" si="70"/>
        <v>53.312523856970003</v>
      </c>
      <c r="S618" s="2">
        <f t="shared" si="69"/>
        <v>0.14487098874176632</v>
      </c>
    </row>
    <row r="619" spans="1:19" x14ac:dyDescent="0.25">
      <c r="A619" s="222"/>
      <c r="B619" s="230"/>
      <c r="C619" s="230"/>
      <c r="D619" s="230"/>
      <c r="E619" s="230"/>
      <c r="F619" s="221"/>
      <c r="G619" s="222"/>
      <c r="H619" s="221"/>
      <c r="I619" s="222"/>
      <c r="J619" s="230"/>
      <c r="K619" s="43"/>
      <c r="L619" s="241"/>
      <c r="M619" s="43" t="s">
        <v>333</v>
      </c>
      <c r="N619" s="14">
        <v>630</v>
      </c>
      <c r="O619" s="35">
        <v>134.92675790961599</v>
      </c>
      <c r="P619" s="35"/>
      <c r="Q619" s="35"/>
      <c r="R619" s="146">
        <f t="shared" si="70"/>
        <v>134.92675790961599</v>
      </c>
      <c r="S619" s="2">
        <f t="shared" si="69"/>
        <v>0.2327928880428157</v>
      </c>
    </row>
    <row r="620" spans="1:19" x14ac:dyDescent="0.25">
      <c r="A620" s="222"/>
      <c r="B620" s="230"/>
      <c r="C620" s="230"/>
      <c r="D620" s="230"/>
      <c r="E620" s="230"/>
      <c r="F620" s="221"/>
      <c r="G620" s="222"/>
      <c r="H620" s="221"/>
      <c r="I620" s="222"/>
      <c r="J620" s="230"/>
      <c r="K620" s="43"/>
      <c r="L620" s="241"/>
      <c r="M620" s="43" t="s">
        <v>332</v>
      </c>
      <c r="N620" s="14">
        <v>400</v>
      </c>
      <c r="O620" s="35">
        <v>71.741544449502896</v>
      </c>
      <c r="P620" s="35"/>
      <c r="Q620" s="35"/>
      <c r="R620" s="146">
        <f t="shared" si="70"/>
        <v>71.741544449502896</v>
      </c>
      <c r="S620" s="2">
        <f t="shared" si="69"/>
        <v>0.19494984904756221</v>
      </c>
    </row>
    <row r="621" spans="1:19" x14ac:dyDescent="0.25">
      <c r="A621" s="222"/>
      <c r="B621" s="230"/>
      <c r="C621" s="230"/>
      <c r="D621" s="230"/>
      <c r="E621" s="230"/>
      <c r="F621" s="221"/>
      <c r="G621" s="222"/>
      <c r="H621" s="221"/>
      <c r="I621" s="222"/>
      <c r="J621" s="230"/>
      <c r="K621" s="43"/>
      <c r="L621" s="241"/>
      <c r="M621" s="43" t="s">
        <v>331</v>
      </c>
      <c r="N621" s="14">
        <v>630</v>
      </c>
      <c r="O621" s="35">
        <v>98.068716724549802</v>
      </c>
      <c r="P621" s="35"/>
      <c r="Q621" s="35"/>
      <c r="R621" s="146">
        <f t="shared" si="70"/>
        <v>98.068716724549802</v>
      </c>
      <c r="S621" s="2">
        <f t="shared" si="69"/>
        <v>0.16920068447989958</v>
      </c>
    </row>
    <row r="622" spans="1:19" x14ac:dyDescent="0.25">
      <c r="A622" s="222"/>
      <c r="B622" s="230"/>
      <c r="C622" s="230"/>
      <c r="D622" s="230"/>
      <c r="E622" s="230"/>
      <c r="F622" s="221"/>
      <c r="G622" s="222"/>
      <c r="H622" s="221"/>
      <c r="I622" s="222"/>
      <c r="J622" s="230"/>
      <c r="K622" s="43"/>
      <c r="L622" s="241"/>
      <c r="M622" s="43" t="s">
        <v>330</v>
      </c>
      <c r="N622" s="14">
        <v>400</v>
      </c>
      <c r="O622" s="35">
        <v>120.44681315834001</v>
      </c>
      <c r="P622" s="35"/>
      <c r="Q622" s="35"/>
      <c r="R622" s="146">
        <f t="shared" si="70"/>
        <v>120.44681315834001</v>
      </c>
      <c r="S622" s="2">
        <f t="shared" si="69"/>
        <v>0.32730112271288048</v>
      </c>
    </row>
    <row r="623" spans="1:19" x14ac:dyDescent="0.25">
      <c r="A623" s="222"/>
      <c r="B623" s="230"/>
      <c r="C623" s="230"/>
      <c r="D623" s="230"/>
      <c r="E623" s="230"/>
      <c r="F623" s="221"/>
      <c r="G623" s="222"/>
      <c r="H623" s="221"/>
      <c r="I623" s="222"/>
      <c r="J623" s="230"/>
      <c r="K623" s="43"/>
      <c r="L623" s="241"/>
      <c r="M623" s="43" t="s">
        <v>329</v>
      </c>
      <c r="N623" s="14">
        <v>630</v>
      </c>
      <c r="O623" s="35">
        <v>138.217654443996</v>
      </c>
      <c r="P623" s="35"/>
      <c r="Q623" s="35"/>
      <c r="R623" s="146">
        <f t="shared" si="70"/>
        <v>138.217654443996</v>
      </c>
      <c r="S623" s="2">
        <f t="shared" si="69"/>
        <v>0.23847076336093168</v>
      </c>
    </row>
    <row r="624" spans="1:19" x14ac:dyDescent="0.25">
      <c r="A624" s="222"/>
      <c r="B624" s="230"/>
      <c r="C624" s="230"/>
      <c r="D624" s="230"/>
      <c r="E624" s="230"/>
      <c r="F624" s="221"/>
      <c r="G624" s="222"/>
      <c r="H624" s="221"/>
      <c r="I624" s="222"/>
      <c r="J624" s="230"/>
      <c r="K624" s="43"/>
      <c r="L624" s="241"/>
      <c r="M624" s="43" t="s">
        <v>328</v>
      </c>
      <c r="N624" s="14">
        <v>250</v>
      </c>
      <c r="O624" s="35">
        <v>59.8943169257318</v>
      </c>
      <c r="P624" s="35"/>
      <c r="Q624" s="35"/>
      <c r="R624" s="146">
        <f t="shared" si="70"/>
        <v>59.8943169257318</v>
      </c>
      <c r="S624" s="2">
        <f t="shared" si="69"/>
        <v>0.26041007359013824</v>
      </c>
    </row>
    <row r="625" spans="1:19" x14ac:dyDescent="0.25">
      <c r="A625" s="222"/>
      <c r="B625" s="230"/>
      <c r="C625" s="230"/>
      <c r="D625" s="230"/>
      <c r="E625" s="230"/>
      <c r="F625" s="221"/>
      <c r="G625" s="222"/>
      <c r="H625" s="221"/>
      <c r="I625" s="222"/>
      <c r="J625" s="230"/>
      <c r="K625" s="43"/>
      <c r="L625" s="241"/>
      <c r="M625" s="43" t="s">
        <v>327</v>
      </c>
      <c r="N625" s="14">
        <v>250</v>
      </c>
      <c r="O625" s="35">
        <v>106.62504771394001</v>
      </c>
      <c r="P625" s="35"/>
      <c r="Q625" s="35"/>
      <c r="R625" s="146">
        <f t="shared" si="70"/>
        <v>106.62504771394001</v>
      </c>
      <c r="S625" s="2">
        <f t="shared" si="69"/>
        <v>0.46358716397365218</v>
      </c>
    </row>
    <row r="626" spans="1:19" x14ac:dyDescent="0.25">
      <c r="A626" s="222"/>
      <c r="B626" s="230"/>
      <c r="C626" s="230"/>
      <c r="D626" s="230"/>
      <c r="E626" s="230"/>
      <c r="F626" s="221"/>
      <c r="G626" s="222"/>
      <c r="H626" s="221"/>
      <c r="I626" s="222"/>
      <c r="J626" s="230"/>
      <c r="K626" s="43"/>
      <c r="L626" s="241"/>
      <c r="M626" s="43" t="s">
        <v>326</v>
      </c>
      <c r="N626" s="14">
        <v>400</v>
      </c>
      <c r="O626" s="35">
        <v>47.388910095084498</v>
      </c>
      <c r="P626" s="35"/>
      <c r="Q626" s="35"/>
      <c r="R626" s="146">
        <f t="shared" si="70"/>
        <v>47.388910095084498</v>
      </c>
      <c r="S626" s="2">
        <f t="shared" si="69"/>
        <v>0.12877421221490354</v>
      </c>
    </row>
    <row r="627" spans="1:19" x14ac:dyDescent="0.25">
      <c r="A627" s="222"/>
      <c r="B627" s="230"/>
      <c r="C627" s="230"/>
      <c r="D627" s="230"/>
      <c r="E627" s="230"/>
      <c r="F627" s="221"/>
      <c r="G627" s="222"/>
      <c r="H627" s="221"/>
      <c r="I627" s="222"/>
      <c r="J627" s="230"/>
      <c r="K627" s="43"/>
      <c r="L627" s="241"/>
      <c r="M627" s="43" t="s">
        <v>338</v>
      </c>
      <c r="N627" s="14">
        <v>250</v>
      </c>
      <c r="O627" s="35">
        <v>115.839558010207</v>
      </c>
      <c r="P627" s="35"/>
      <c r="Q627" s="35"/>
      <c r="R627" s="146">
        <f t="shared" si="70"/>
        <v>115.839558010207</v>
      </c>
      <c r="S627" s="2">
        <f t="shared" si="69"/>
        <v>0.50365025221829129</v>
      </c>
    </row>
    <row r="628" spans="1:19" x14ac:dyDescent="0.25">
      <c r="A628" s="222"/>
      <c r="B628" s="230"/>
      <c r="C628" s="230"/>
      <c r="D628" s="230"/>
      <c r="E628" s="230"/>
      <c r="F628" s="221"/>
      <c r="G628" s="222"/>
      <c r="H628" s="221"/>
      <c r="I628" s="222"/>
      <c r="J628" s="230"/>
      <c r="K628" s="43"/>
      <c r="L628" s="241"/>
      <c r="M628" s="43" t="s">
        <v>372</v>
      </c>
      <c r="N628" s="14">
        <v>250</v>
      </c>
      <c r="O628" s="35">
        <v>205.35194374536599</v>
      </c>
      <c r="P628" s="35"/>
      <c r="Q628" s="35"/>
      <c r="R628" s="146">
        <f t="shared" si="70"/>
        <v>205.35194374536599</v>
      </c>
      <c r="S628" s="2">
        <f t="shared" si="69"/>
        <v>0.89283453802333035</v>
      </c>
    </row>
    <row r="629" spans="1:19" x14ac:dyDescent="0.25">
      <c r="A629" s="222"/>
      <c r="B629" s="230"/>
      <c r="C629" s="230"/>
      <c r="D629" s="230"/>
      <c r="E629" s="230"/>
      <c r="F629" s="221"/>
      <c r="G629" s="222"/>
      <c r="H629" s="221"/>
      <c r="I629" s="222"/>
      <c r="J629" s="230"/>
      <c r="K629" s="43"/>
      <c r="L629" s="241"/>
      <c r="M629" s="43" t="s">
        <v>373</v>
      </c>
      <c r="N629" s="14">
        <v>250</v>
      </c>
      <c r="O629" s="35">
        <v>71.741544449502896</v>
      </c>
      <c r="P629" s="35"/>
      <c r="Q629" s="35"/>
      <c r="R629" s="146">
        <f t="shared" si="70"/>
        <v>71.741544449502896</v>
      </c>
      <c r="S629" s="2">
        <f t="shared" si="69"/>
        <v>0.31191975847609954</v>
      </c>
    </row>
    <row r="630" spans="1:19" x14ac:dyDescent="0.25">
      <c r="A630" s="222"/>
      <c r="B630" s="230"/>
      <c r="C630" s="230"/>
      <c r="D630" s="230"/>
      <c r="E630" s="230"/>
      <c r="F630" s="221"/>
      <c r="G630" s="222"/>
      <c r="H630" s="221"/>
      <c r="I630" s="222"/>
      <c r="J630" s="230"/>
      <c r="K630" s="43"/>
      <c r="L630" s="241"/>
      <c r="M630" s="43" t="s">
        <v>1068</v>
      </c>
      <c r="N630" s="14">
        <v>250</v>
      </c>
      <c r="O630" s="35">
        <v>82.9305926663978</v>
      </c>
      <c r="P630" s="35"/>
      <c r="Q630" s="35"/>
      <c r="R630" s="146">
        <f t="shared" si="70"/>
        <v>82.9305926663978</v>
      </c>
      <c r="S630" s="2">
        <f t="shared" si="69"/>
        <v>0.36056779420172957</v>
      </c>
    </row>
    <row r="631" spans="1:19" x14ac:dyDescent="0.25">
      <c r="A631" s="222"/>
      <c r="B631" s="230"/>
      <c r="C631" s="230"/>
      <c r="D631" s="230"/>
      <c r="E631" s="230"/>
      <c r="F631" s="221"/>
      <c r="G631" s="222"/>
      <c r="H631" s="221"/>
      <c r="I631" s="222"/>
      <c r="J631" s="230"/>
      <c r="K631" s="43"/>
      <c r="L631" s="241"/>
      <c r="M631" s="43" t="s">
        <v>350</v>
      </c>
      <c r="N631" s="14">
        <v>160</v>
      </c>
      <c r="O631" s="35">
        <v>96.752358110797502</v>
      </c>
      <c r="P631" s="35"/>
      <c r="Q631" s="35"/>
      <c r="R631" s="146">
        <f t="shared" si="70"/>
        <v>96.752358110797502</v>
      </c>
      <c r="S631" s="2">
        <f t="shared" si="69"/>
        <v>0.65728504151356992</v>
      </c>
    </row>
    <row r="632" spans="1:19" x14ac:dyDescent="0.25">
      <c r="A632" s="222"/>
      <c r="B632" s="230"/>
      <c r="C632" s="230"/>
      <c r="D632" s="230"/>
      <c r="E632" s="230"/>
      <c r="F632" s="221"/>
      <c r="G632" s="222"/>
      <c r="H632" s="221"/>
      <c r="I632" s="222"/>
      <c r="J632" s="230"/>
      <c r="K632" s="43"/>
      <c r="L632" s="241"/>
      <c r="M632" s="43" t="s">
        <v>366</v>
      </c>
      <c r="N632" s="14">
        <v>160</v>
      </c>
      <c r="O632" s="35">
        <v>90.828744348911897</v>
      </c>
      <c r="P632" s="35"/>
      <c r="Q632" s="35"/>
      <c r="R632" s="146">
        <f t="shared" si="70"/>
        <v>90.828744348911897</v>
      </c>
      <c r="S632" s="2">
        <f t="shared" si="69"/>
        <v>0.61704310019641229</v>
      </c>
    </row>
    <row r="633" spans="1:19" x14ac:dyDescent="0.25">
      <c r="A633" s="222"/>
      <c r="B633" s="230"/>
      <c r="C633" s="230"/>
      <c r="D633" s="230"/>
      <c r="E633" s="230"/>
      <c r="F633" s="221"/>
      <c r="G633" s="222"/>
      <c r="H633" s="221"/>
      <c r="I633" s="222"/>
      <c r="J633" s="230"/>
      <c r="K633" s="43"/>
      <c r="L633" s="241"/>
      <c r="M633" s="43" t="s">
        <v>1069</v>
      </c>
      <c r="N633" s="14">
        <v>160</v>
      </c>
      <c r="O633" s="35">
        <v>64.501572073865006</v>
      </c>
      <c r="P633" s="35"/>
      <c r="Q633" s="35"/>
      <c r="R633" s="146">
        <f t="shared" si="70"/>
        <v>64.501572073865006</v>
      </c>
      <c r="S633" s="2">
        <f t="shared" si="69"/>
        <v>0.4381900276757133</v>
      </c>
    </row>
    <row r="634" spans="1:19" x14ac:dyDescent="0.25">
      <c r="A634" s="222"/>
      <c r="B634" s="230"/>
      <c r="C634" s="230"/>
      <c r="D634" s="230"/>
      <c r="E634" s="230"/>
      <c r="F634" s="221"/>
      <c r="G634" s="222"/>
      <c r="H634" s="221"/>
      <c r="I634" s="222"/>
      <c r="J634" s="230"/>
      <c r="K634" s="43"/>
      <c r="L634" s="241"/>
      <c r="M634" s="43" t="s">
        <v>1070</v>
      </c>
      <c r="N634" s="14">
        <v>400</v>
      </c>
      <c r="O634" s="35">
        <v>138.217654443996</v>
      </c>
      <c r="P634" s="35"/>
      <c r="Q634" s="35"/>
      <c r="R634" s="146">
        <f t="shared" si="70"/>
        <v>138.217654443996</v>
      </c>
      <c r="S634" s="2">
        <f t="shared" si="69"/>
        <v>0.37559145229346741</v>
      </c>
    </row>
    <row r="635" spans="1:19" x14ac:dyDescent="0.25">
      <c r="A635" s="222"/>
      <c r="B635" s="230"/>
      <c r="C635" s="230"/>
      <c r="D635" s="230"/>
      <c r="E635" s="230"/>
      <c r="F635" s="221"/>
      <c r="G635" s="222"/>
      <c r="H635" s="221"/>
      <c r="I635" s="222"/>
      <c r="J635" s="230"/>
      <c r="K635" s="43"/>
      <c r="L635" s="241"/>
      <c r="M635" s="43" t="s">
        <v>1071</v>
      </c>
      <c r="N635" s="14">
        <v>100</v>
      </c>
      <c r="O635" s="35">
        <v>89.512385735159597</v>
      </c>
      <c r="P635" s="35"/>
      <c r="Q635" s="35"/>
      <c r="R635" s="146">
        <f t="shared" si="70"/>
        <v>89.512385735159597</v>
      </c>
      <c r="S635" s="2">
        <f t="shared" si="69"/>
        <v>0.97296071451260435</v>
      </c>
    </row>
    <row r="636" spans="1:19" x14ac:dyDescent="0.25">
      <c r="A636" s="222"/>
      <c r="B636" s="230"/>
      <c r="C636" s="230"/>
      <c r="D636" s="230"/>
      <c r="E636" s="230"/>
      <c r="F636" s="221"/>
      <c r="G636" s="222"/>
      <c r="H636" s="221"/>
      <c r="I636" s="222"/>
      <c r="J636" s="230"/>
      <c r="K636" s="43"/>
      <c r="L636" s="241"/>
      <c r="M636" s="43" t="s">
        <v>1072</v>
      </c>
      <c r="N636" s="14">
        <v>630</v>
      </c>
      <c r="O636" s="35">
        <v>211.27555750725199</v>
      </c>
      <c r="P636" s="35"/>
      <c r="Q636" s="35"/>
      <c r="R636" s="146">
        <f t="shared" si="70"/>
        <v>211.27555750725199</v>
      </c>
      <c r="S636" s="2">
        <f t="shared" si="69"/>
        <v>0.36451959542314005</v>
      </c>
    </row>
    <row r="637" spans="1:19" x14ac:dyDescent="0.25">
      <c r="A637" s="222"/>
      <c r="B637" s="230"/>
      <c r="C637" s="230"/>
      <c r="D637" s="230"/>
      <c r="E637" s="230"/>
      <c r="F637" s="221"/>
      <c r="G637" s="222"/>
      <c r="H637" s="221"/>
      <c r="I637" s="222"/>
      <c r="J637" s="230"/>
      <c r="K637" s="43"/>
      <c r="L637" s="241"/>
      <c r="M637" s="43" t="s">
        <v>1073</v>
      </c>
      <c r="N637" s="14">
        <v>25</v>
      </c>
      <c r="O637" s="35">
        <v>1.9745379206285201</v>
      </c>
      <c r="P637" s="35"/>
      <c r="Q637" s="35"/>
      <c r="R637" s="146">
        <f t="shared" si="70"/>
        <v>1.9745379206285201</v>
      </c>
      <c r="S637" s="2">
        <f t="shared" si="69"/>
        <v>8.5849474809935655E-2</v>
      </c>
    </row>
    <row r="638" spans="1:19" x14ac:dyDescent="0.25">
      <c r="A638" s="222"/>
      <c r="B638" s="230"/>
      <c r="C638" s="230"/>
      <c r="D638" s="230"/>
      <c r="E638" s="230"/>
      <c r="F638" s="221"/>
      <c r="G638" s="222"/>
      <c r="H638" s="221"/>
      <c r="I638" s="222"/>
      <c r="J638" s="230"/>
      <c r="K638" s="43"/>
      <c r="L638" s="241"/>
      <c r="M638" s="43" t="s">
        <v>1074</v>
      </c>
      <c r="N638" s="14">
        <v>630</v>
      </c>
      <c r="O638" s="35">
        <v>148.09034404713901</v>
      </c>
      <c r="P638" s="35"/>
      <c r="Q638" s="35"/>
      <c r="R638" s="146">
        <f t="shared" si="70"/>
        <v>148.09034404713901</v>
      </c>
      <c r="S638" s="2">
        <f t="shared" si="69"/>
        <v>0.25550438931528469</v>
      </c>
    </row>
    <row r="639" spans="1:19" x14ac:dyDescent="0.25">
      <c r="A639" s="222"/>
      <c r="B639" s="230"/>
      <c r="C639" s="230"/>
      <c r="D639" s="230"/>
      <c r="E639" s="230"/>
      <c r="F639" s="221"/>
      <c r="G639" s="222"/>
      <c r="H639" s="221"/>
      <c r="I639" s="222"/>
      <c r="J639" s="230"/>
      <c r="K639" s="43"/>
      <c r="L639" s="241"/>
      <c r="M639" s="43" t="s">
        <v>1075</v>
      </c>
      <c r="N639" s="14">
        <v>100</v>
      </c>
      <c r="O639" s="35">
        <v>88.196027121407198</v>
      </c>
      <c r="P639" s="35"/>
      <c r="Q639" s="35"/>
      <c r="R639" s="146">
        <f t="shared" si="70"/>
        <v>88.196027121407198</v>
      </c>
      <c r="S639" s="2">
        <f t="shared" si="69"/>
        <v>0.95865246871094778</v>
      </c>
    </row>
    <row r="640" spans="1:19" x14ac:dyDescent="0.25">
      <c r="A640" s="222"/>
      <c r="B640" s="230"/>
      <c r="C640" s="230"/>
      <c r="D640" s="230"/>
      <c r="E640" s="230"/>
      <c r="F640" s="221"/>
      <c r="G640" s="222"/>
      <c r="H640" s="221"/>
      <c r="I640" s="222"/>
      <c r="J640" s="230"/>
      <c r="K640" s="43"/>
      <c r="L640" s="241"/>
      <c r="M640" s="43" t="s">
        <v>1076</v>
      </c>
      <c r="N640" s="14">
        <v>250</v>
      </c>
      <c r="O640" s="35">
        <v>7.8981516825140803</v>
      </c>
      <c r="P640" s="35"/>
      <c r="Q640" s="35"/>
      <c r="R640" s="146">
        <f t="shared" si="70"/>
        <v>7.8981516825140803</v>
      </c>
      <c r="S640" s="2">
        <f t="shared" si="69"/>
        <v>3.4339789923974261E-2</v>
      </c>
    </row>
    <row r="641" spans="1:19" x14ac:dyDescent="0.25">
      <c r="A641" s="224"/>
      <c r="B641" s="230"/>
      <c r="C641" s="230"/>
      <c r="D641" s="230"/>
      <c r="E641" s="230"/>
      <c r="F641" s="223"/>
      <c r="G641" s="224"/>
      <c r="H641" s="223"/>
      <c r="I641" s="224"/>
      <c r="J641" s="231"/>
      <c r="K641" s="43"/>
      <c r="L641" s="242"/>
      <c r="M641" s="43" t="s">
        <v>1077</v>
      </c>
      <c r="N641" s="14">
        <v>100</v>
      </c>
      <c r="O641" s="35">
        <v>19.7453792062852</v>
      </c>
      <c r="P641" s="35"/>
      <c r="Q641" s="35"/>
      <c r="R641" s="146">
        <f t="shared" si="70"/>
        <v>19.7453792062852</v>
      </c>
      <c r="S641" s="2">
        <f t="shared" si="69"/>
        <v>0.21462368702483914</v>
      </c>
    </row>
    <row r="642" spans="1:19" ht="31.5" customHeight="1" x14ac:dyDescent="0.25">
      <c r="A642" s="238">
        <v>14</v>
      </c>
      <c r="B642" s="230"/>
      <c r="C642" s="230"/>
      <c r="D642" s="230"/>
      <c r="E642" s="230"/>
      <c r="F642" s="219" t="s">
        <v>84</v>
      </c>
      <c r="G642" s="220"/>
      <c r="H642" s="219" t="s">
        <v>709</v>
      </c>
      <c r="I642" s="220"/>
      <c r="J642" s="229"/>
      <c r="K642" s="43"/>
      <c r="L642" s="240">
        <f>SUM(S642:S681)</f>
        <v>8.9900839251832902</v>
      </c>
      <c r="M642" s="43" t="s">
        <v>412</v>
      </c>
      <c r="N642" s="86">
        <f t="shared" ref="N642:N643" si="71">2*400</f>
        <v>800</v>
      </c>
      <c r="O642" s="35">
        <v>182.97384731157601</v>
      </c>
      <c r="P642" s="35"/>
      <c r="Q642" s="35">
        <f>10</f>
        <v>10</v>
      </c>
      <c r="R642" s="146">
        <f t="shared" si="70"/>
        <v>192.97384731157601</v>
      </c>
      <c r="S642" s="2">
        <f t="shared" si="69"/>
        <v>0.26219272732551085</v>
      </c>
    </row>
    <row r="643" spans="1:19" ht="31.5" x14ac:dyDescent="0.25">
      <c r="A643" s="243"/>
      <c r="B643" s="230"/>
      <c r="C643" s="230"/>
      <c r="D643" s="230"/>
      <c r="E643" s="230"/>
      <c r="F643" s="221"/>
      <c r="G643" s="222"/>
      <c r="H643" s="221"/>
      <c r="I643" s="222"/>
      <c r="J643" s="230"/>
      <c r="K643" s="43"/>
      <c r="L643" s="241"/>
      <c r="M643" s="43" t="s">
        <v>416</v>
      </c>
      <c r="N643" s="86">
        <f t="shared" si="71"/>
        <v>800</v>
      </c>
      <c r="O643" s="35">
        <v>182.97384731157601</v>
      </c>
      <c r="P643" s="35"/>
      <c r="Q643" s="35"/>
      <c r="R643" s="146">
        <f t="shared" si="70"/>
        <v>182.97384731157601</v>
      </c>
      <c r="S643" s="2">
        <f t="shared" si="69"/>
        <v>0.24860577080377175</v>
      </c>
    </row>
    <row r="644" spans="1:19" x14ac:dyDescent="0.25">
      <c r="A644" s="243"/>
      <c r="B644" s="230"/>
      <c r="C644" s="230"/>
      <c r="D644" s="230"/>
      <c r="E644" s="230"/>
      <c r="F644" s="221"/>
      <c r="G644" s="222"/>
      <c r="H644" s="221"/>
      <c r="I644" s="222"/>
      <c r="J644" s="230"/>
      <c r="K644" s="43"/>
      <c r="L644" s="241"/>
      <c r="M644" s="43" t="s">
        <v>400</v>
      </c>
      <c r="N644" s="14">
        <v>250</v>
      </c>
      <c r="O644" s="35">
        <v>44.756192867579799</v>
      </c>
      <c r="P644" s="35"/>
      <c r="Q644" s="35"/>
      <c r="R644" s="146">
        <f t="shared" si="70"/>
        <v>44.756192867579799</v>
      </c>
      <c r="S644" s="2">
        <f t="shared" si="69"/>
        <v>0.19459214290252086</v>
      </c>
    </row>
    <row r="645" spans="1:19" x14ac:dyDescent="0.25">
      <c r="A645" s="243"/>
      <c r="B645" s="230"/>
      <c r="C645" s="230"/>
      <c r="D645" s="230"/>
      <c r="E645" s="230"/>
      <c r="F645" s="221"/>
      <c r="G645" s="222"/>
      <c r="H645" s="221"/>
      <c r="I645" s="222"/>
      <c r="J645" s="230"/>
      <c r="K645" s="43"/>
      <c r="L645" s="241"/>
      <c r="M645" s="43" t="s">
        <v>156</v>
      </c>
      <c r="N645" s="14">
        <v>250</v>
      </c>
      <c r="O645" s="35">
        <v>82.9305926663978</v>
      </c>
      <c r="P645" s="35"/>
      <c r="Q645" s="35"/>
      <c r="R645" s="146">
        <f t="shared" si="70"/>
        <v>82.9305926663978</v>
      </c>
      <c r="S645" s="2">
        <f t="shared" si="69"/>
        <v>0.36056779420172957</v>
      </c>
    </row>
    <row r="646" spans="1:19" x14ac:dyDescent="0.25">
      <c r="A646" s="243"/>
      <c r="B646" s="230"/>
      <c r="C646" s="230"/>
      <c r="D646" s="230"/>
      <c r="E646" s="230"/>
      <c r="F646" s="221"/>
      <c r="G646" s="222"/>
      <c r="H646" s="221"/>
      <c r="I646" s="222"/>
      <c r="J646" s="230"/>
      <c r="K646" s="43"/>
      <c r="L646" s="241"/>
      <c r="M646" s="43" t="s">
        <v>157</v>
      </c>
      <c r="N646" s="14">
        <v>250</v>
      </c>
      <c r="O646" s="35">
        <v>6.5817930687617299</v>
      </c>
      <c r="P646" s="35"/>
      <c r="Q646" s="35"/>
      <c r="R646" s="146">
        <f t="shared" si="70"/>
        <v>6.5817930687617299</v>
      </c>
      <c r="S646" s="2">
        <f t="shared" si="69"/>
        <v>2.861649160331187E-2</v>
      </c>
    </row>
    <row r="647" spans="1:19" x14ac:dyDescent="0.25">
      <c r="A647" s="243"/>
      <c r="B647" s="230"/>
      <c r="C647" s="230"/>
      <c r="D647" s="230"/>
      <c r="E647" s="230"/>
      <c r="F647" s="221"/>
      <c r="G647" s="222"/>
      <c r="H647" s="221"/>
      <c r="I647" s="222"/>
      <c r="J647" s="230"/>
      <c r="K647" s="43"/>
      <c r="L647" s="241"/>
      <c r="M647" s="43" t="s">
        <v>158</v>
      </c>
      <c r="N647" s="14">
        <v>400</v>
      </c>
      <c r="O647" s="35">
        <v>102.017792565807</v>
      </c>
      <c r="P647" s="35"/>
      <c r="Q647" s="35"/>
      <c r="R647" s="146">
        <f t="shared" si="70"/>
        <v>102.017792565807</v>
      </c>
      <c r="S647" s="2">
        <f t="shared" si="69"/>
        <v>0.27722226240708425</v>
      </c>
    </row>
    <row r="648" spans="1:19" x14ac:dyDescent="0.25">
      <c r="A648" s="243"/>
      <c r="B648" s="230"/>
      <c r="C648" s="230"/>
      <c r="D648" s="230"/>
      <c r="E648" s="230"/>
      <c r="F648" s="221"/>
      <c r="G648" s="222"/>
      <c r="H648" s="221"/>
      <c r="I648" s="222"/>
      <c r="J648" s="230"/>
      <c r="K648" s="43"/>
      <c r="L648" s="241"/>
      <c r="M648" s="43" t="s">
        <v>369</v>
      </c>
      <c r="N648" s="1">
        <f>2*630</f>
        <v>1260</v>
      </c>
      <c r="O648" s="35">
        <v>39.490758412570401</v>
      </c>
      <c r="P648" s="35"/>
      <c r="Q648" s="35"/>
      <c r="R648" s="146">
        <f t="shared" si="70"/>
        <v>39.490758412570401</v>
      </c>
      <c r="S648" s="2">
        <f t="shared" si="69"/>
        <v>3.4067251908704625E-2</v>
      </c>
    </row>
    <row r="649" spans="1:19" x14ac:dyDescent="0.25">
      <c r="A649" s="243"/>
      <c r="B649" s="230"/>
      <c r="C649" s="230"/>
      <c r="D649" s="230"/>
      <c r="E649" s="230"/>
      <c r="F649" s="221"/>
      <c r="G649" s="222"/>
      <c r="H649" s="221"/>
      <c r="I649" s="222"/>
      <c r="J649" s="230"/>
      <c r="K649" s="43"/>
      <c r="L649" s="241"/>
      <c r="M649" s="43" t="s">
        <v>406</v>
      </c>
      <c r="N649" s="14">
        <v>630</v>
      </c>
      <c r="O649" s="35">
        <v>92.803282269540404</v>
      </c>
      <c r="P649" s="35"/>
      <c r="Q649" s="35">
        <f>30</f>
        <v>30</v>
      </c>
      <c r="R649" s="146">
        <f t="shared" si="70"/>
        <v>122.8032822695404</v>
      </c>
      <c r="S649" s="2">
        <f t="shared" si="69"/>
        <v>0.21187591833944169</v>
      </c>
    </row>
    <row r="650" spans="1:19" x14ac:dyDescent="0.25">
      <c r="A650" s="243"/>
      <c r="B650" s="230"/>
      <c r="C650" s="230"/>
      <c r="D650" s="230"/>
      <c r="E650" s="230"/>
      <c r="F650" s="221"/>
      <c r="G650" s="222"/>
      <c r="H650" s="221"/>
      <c r="I650" s="222"/>
      <c r="J650" s="230"/>
      <c r="K650" s="43"/>
      <c r="L650" s="241"/>
      <c r="M650" s="43" t="s">
        <v>159</v>
      </c>
      <c r="N650" s="14">
        <v>400</v>
      </c>
      <c r="O650" s="35">
        <v>69.108827221998197</v>
      </c>
      <c r="P650" s="35"/>
      <c r="Q650" s="35"/>
      <c r="R650" s="146">
        <f t="shared" si="70"/>
        <v>69.108827221998197</v>
      </c>
      <c r="S650" s="2">
        <f t="shared" si="69"/>
        <v>0.18779572614673423</v>
      </c>
    </row>
    <row r="651" spans="1:19" x14ac:dyDescent="0.25">
      <c r="A651" s="243"/>
      <c r="B651" s="230"/>
      <c r="C651" s="230"/>
      <c r="D651" s="230"/>
      <c r="E651" s="230"/>
      <c r="F651" s="221"/>
      <c r="G651" s="222"/>
      <c r="H651" s="221"/>
      <c r="I651" s="222"/>
      <c r="J651" s="230"/>
      <c r="K651" s="43"/>
      <c r="L651" s="241"/>
      <c r="M651" s="43" t="s">
        <v>160</v>
      </c>
      <c r="N651" s="14">
        <v>400</v>
      </c>
      <c r="O651" s="35">
        <v>71.741544449502896</v>
      </c>
      <c r="P651" s="35"/>
      <c r="Q651" s="35"/>
      <c r="R651" s="146">
        <f t="shared" si="70"/>
        <v>71.741544449502896</v>
      </c>
      <c r="S651" s="2">
        <f t="shared" si="69"/>
        <v>0.19494984904756221</v>
      </c>
    </row>
    <row r="652" spans="1:19" x14ac:dyDescent="0.25">
      <c r="A652" s="243"/>
      <c r="B652" s="230"/>
      <c r="C652" s="230"/>
      <c r="D652" s="230"/>
      <c r="E652" s="230"/>
      <c r="F652" s="221"/>
      <c r="G652" s="222"/>
      <c r="H652" s="221"/>
      <c r="I652" s="222"/>
      <c r="J652" s="230"/>
      <c r="K652" s="43"/>
      <c r="L652" s="241"/>
      <c r="M652" s="43" t="s">
        <v>413</v>
      </c>
      <c r="N652" s="14">
        <v>250</v>
      </c>
      <c r="O652" s="35">
        <v>55.945241084474702</v>
      </c>
      <c r="P652" s="35"/>
      <c r="Q652" s="35"/>
      <c r="R652" s="146">
        <f t="shared" si="70"/>
        <v>55.945241084474702</v>
      </c>
      <c r="S652" s="2">
        <f t="shared" si="69"/>
        <v>0.24324017862815087</v>
      </c>
    </row>
    <row r="653" spans="1:19" x14ac:dyDescent="0.25">
      <c r="A653" s="243"/>
      <c r="B653" s="230"/>
      <c r="C653" s="230"/>
      <c r="D653" s="230"/>
      <c r="E653" s="230"/>
      <c r="F653" s="221"/>
      <c r="G653" s="222"/>
      <c r="H653" s="221"/>
      <c r="I653" s="222"/>
      <c r="J653" s="230"/>
      <c r="K653" s="43"/>
      <c r="L653" s="241"/>
      <c r="M653" s="43" t="s">
        <v>129</v>
      </c>
      <c r="N653" s="14">
        <v>250</v>
      </c>
      <c r="O653" s="35">
        <v>49.363448015712997</v>
      </c>
      <c r="P653" s="35"/>
      <c r="Q653" s="35"/>
      <c r="R653" s="146">
        <f t="shared" si="70"/>
        <v>49.363448015712997</v>
      </c>
      <c r="S653" s="2">
        <f t="shared" si="69"/>
        <v>0.21462368702483911</v>
      </c>
    </row>
    <row r="654" spans="1:19" x14ac:dyDescent="0.25">
      <c r="A654" s="243"/>
      <c r="B654" s="230"/>
      <c r="C654" s="230"/>
      <c r="D654" s="230"/>
      <c r="E654" s="230"/>
      <c r="F654" s="221"/>
      <c r="G654" s="222"/>
      <c r="H654" s="221"/>
      <c r="I654" s="222"/>
      <c r="J654" s="230"/>
      <c r="K654" s="43"/>
      <c r="L654" s="241"/>
      <c r="M654" s="43" t="s">
        <v>161</v>
      </c>
      <c r="N654" s="14">
        <v>250</v>
      </c>
      <c r="O654" s="35">
        <v>163.228468105291</v>
      </c>
      <c r="P654" s="35"/>
      <c r="Q654" s="35"/>
      <c r="R654" s="146">
        <f t="shared" si="70"/>
        <v>163.228468105291</v>
      </c>
      <c r="S654" s="2">
        <f t="shared" si="69"/>
        <v>0.70968899176213474</v>
      </c>
    </row>
    <row r="655" spans="1:19" x14ac:dyDescent="0.25">
      <c r="A655" s="243"/>
      <c r="B655" s="230"/>
      <c r="C655" s="230"/>
      <c r="D655" s="230"/>
      <c r="E655" s="230"/>
      <c r="F655" s="221"/>
      <c r="G655" s="222"/>
      <c r="H655" s="221"/>
      <c r="I655" s="222"/>
      <c r="J655" s="230"/>
      <c r="K655" s="43"/>
      <c r="L655" s="241"/>
      <c r="M655" s="43" t="s">
        <v>162</v>
      </c>
      <c r="N655" s="14">
        <v>250</v>
      </c>
      <c r="O655" s="35">
        <v>34.225323957561002</v>
      </c>
      <c r="P655" s="35"/>
      <c r="Q655" s="35"/>
      <c r="R655" s="146">
        <f t="shared" si="70"/>
        <v>34.225323957561002</v>
      </c>
      <c r="S655" s="2">
        <f t="shared" si="69"/>
        <v>0.14880575633722176</v>
      </c>
    </row>
    <row r="656" spans="1:19" x14ac:dyDescent="0.25">
      <c r="A656" s="243"/>
      <c r="B656" s="230"/>
      <c r="C656" s="230"/>
      <c r="D656" s="230"/>
      <c r="E656" s="230"/>
      <c r="F656" s="221"/>
      <c r="G656" s="222"/>
      <c r="H656" s="221"/>
      <c r="I656" s="222"/>
      <c r="J656" s="230"/>
      <c r="K656" s="43"/>
      <c r="L656" s="241"/>
      <c r="M656" s="43" t="s">
        <v>130</v>
      </c>
      <c r="N656" s="14">
        <v>250</v>
      </c>
      <c r="O656" s="35">
        <v>62.527034153236499</v>
      </c>
      <c r="P656" s="35"/>
      <c r="Q656" s="35"/>
      <c r="R656" s="146">
        <f t="shared" si="70"/>
        <v>62.527034153236499</v>
      </c>
      <c r="S656" s="2">
        <f t="shared" si="69"/>
        <v>0.27185667023146304</v>
      </c>
    </row>
    <row r="657" spans="1:19" ht="31.5" x14ac:dyDescent="0.25">
      <c r="A657" s="243"/>
      <c r="B657" s="230"/>
      <c r="C657" s="230"/>
      <c r="D657" s="230"/>
      <c r="E657" s="230"/>
      <c r="F657" s="221"/>
      <c r="G657" s="222"/>
      <c r="H657" s="221"/>
      <c r="I657" s="222"/>
      <c r="J657" s="230"/>
      <c r="K657" s="43"/>
      <c r="L657" s="241"/>
      <c r="M657" s="43" t="s">
        <v>305</v>
      </c>
      <c r="N657" s="1">
        <f t="shared" ref="N657:N658" si="72">2*630</f>
        <v>1260</v>
      </c>
      <c r="O657" s="35">
        <v>186.92292315283299</v>
      </c>
      <c r="P657" s="35"/>
      <c r="Q657" s="35"/>
      <c r="R657" s="146">
        <f t="shared" si="70"/>
        <v>186.92292315283299</v>
      </c>
      <c r="S657" s="2">
        <f t="shared" si="69"/>
        <v>0.16125165903453501</v>
      </c>
    </row>
    <row r="658" spans="1:19" x14ac:dyDescent="0.25">
      <c r="A658" s="243"/>
      <c r="B658" s="230"/>
      <c r="C658" s="230"/>
      <c r="D658" s="230"/>
      <c r="E658" s="230"/>
      <c r="F658" s="221"/>
      <c r="G658" s="222"/>
      <c r="H658" s="221"/>
      <c r="I658" s="222"/>
      <c r="J658" s="230"/>
      <c r="K658" s="43"/>
      <c r="L658" s="241"/>
      <c r="M658" s="43" t="s">
        <v>370</v>
      </c>
      <c r="N658" s="1">
        <f t="shared" si="72"/>
        <v>1260</v>
      </c>
      <c r="O658" s="35">
        <v>63.843392766988799</v>
      </c>
      <c r="P658" s="35"/>
      <c r="Q658" s="35"/>
      <c r="R658" s="146">
        <f t="shared" si="70"/>
        <v>63.843392766988799</v>
      </c>
      <c r="S658" s="2">
        <f t="shared" si="69"/>
        <v>5.5075390585739126E-2</v>
      </c>
    </row>
    <row r="659" spans="1:19" x14ac:dyDescent="0.25">
      <c r="A659" s="243"/>
      <c r="B659" s="230"/>
      <c r="C659" s="230"/>
      <c r="D659" s="230"/>
      <c r="E659" s="230"/>
      <c r="F659" s="221"/>
      <c r="G659" s="222"/>
      <c r="H659" s="221"/>
      <c r="I659" s="222"/>
      <c r="J659" s="230"/>
      <c r="K659" s="43"/>
      <c r="L659" s="241"/>
      <c r="M659" s="43" t="s">
        <v>134</v>
      </c>
      <c r="N659" s="14">
        <v>630</v>
      </c>
      <c r="O659" s="35">
        <v>57.919779005103301</v>
      </c>
      <c r="P659" s="35"/>
      <c r="Q659" s="35">
        <f>5+5+5+5+5</f>
        <v>25</v>
      </c>
      <c r="R659" s="146">
        <f t="shared" si="70"/>
        <v>82.919779005103294</v>
      </c>
      <c r="S659" s="2">
        <f t="shared" si="69"/>
        <v>0.14306380090597531</v>
      </c>
    </row>
    <row r="660" spans="1:19" x14ac:dyDescent="0.25">
      <c r="A660" s="243"/>
      <c r="B660" s="230"/>
      <c r="C660" s="230"/>
      <c r="D660" s="230"/>
      <c r="E660" s="230"/>
      <c r="F660" s="221"/>
      <c r="G660" s="222"/>
      <c r="H660" s="221"/>
      <c r="I660" s="222"/>
      <c r="J660" s="230"/>
      <c r="K660" s="43"/>
      <c r="L660" s="241"/>
      <c r="M660" s="43" t="s">
        <v>164</v>
      </c>
      <c r="N660" s="14">
        <v>400</v>
      </c>
      <c r="O660" s="35">
        <v>104.650509793312</v>
      </c>
      <c r="P660" s="35"/>
      <c r="Q660" s="35"/>
      <c r="R660" s="146">
        <f t="shared" si="70"/>
        <v>104.650509793312</v>
      </c>
      <c r="S660" s="2">
        <f t="shared" si="69"/>
        <v>0.28437638530791304</v>
      </c>
    </row>
    <row r="661" spans="1:19" x14ac:dyDescent="0.25">
      <c r="A661" s="243"/>
      <c r="B661" s="230"/>
      <c r="C661" s="230"/>
      <c r="D661" s="230"/>
      <c r="E661" s="230"/>
      <c r="F661" s="221"/>
      <c r="G661" s="222"/>
      <c r="H661" s="221"/>
      <c r="I661" s="222"/>
      <c r="J661" s="230"/>
      <c r="K661" s="43"/>
      <c r="L661" s="241"/>
      <c r="M661" s="43" t="s">
        <v>135</v>
      </c>
      <c r="N661" s="14">
        <v>250</v>
      </c>
      <c r="O661" s="35">
        <v>43.439834253827399</v>
      </c>
      <c r="P661" s="35"/>
      <c r="Q661" s="35"/>
      <c r="R661" s="146">
        <f t="shared" si="70"/>
        <v>43.439834253827399</v>
      </c>
      <c r="S661" s="2">
        <f t="shared" si="69"/>
        <v>0.18886884458185826</v>
      </c>
    </row>
    <row r="662" spans="1:19" x14ac:dyDescent="0.25">
      <c r="A662" s="243"/>
      <c r="B662" s="230"/>
      <c r="C662" s="230"/>
      <c r="D662" s="230"/>
      <c r="E662" s="230"/>
      <c r="F662" s="221"/>
      <c r="G662" s="222"/>
      <c r="H662" s="221"/>
      <c r="I662" s="222"/>
      <c r="J662" s="230"/>
      <c r="K662" s="43"/>
      <c r="L662" s="241"/>
      <c r="M662" s="43" t="s">
        <v>126</v>
      </c>
      <c r="N662" s="14">
        <v>400</v>
      </c>
      <c r="O662" s="35">
        <v>111.89048216894901</v>
      </c>
      <c r="P662" s="35"/>
      <c r="Q662" s="35"/>
      <c r="R662" s="146">
        <f t="shared" si="70"/>
        <v>111.89048216894901</v>
      </c>
      <c r="S662" s="2">
        <f t="shared" si="69"/>
        <v>0.30405022328518749</v>
      </c>
    </row>
    <row r="663" spans="1:19" x14ac:dyDescent="0.25">
      <c r="A663" s="243"/>
      <c r="B663" s="230"/>
      <c r="C663" s="230"/>
      <c r="D663" s="230"/>
      <c r="E663" s="230"/>
      <c r="F663" s="221"/>
      <c r="G663" s="222"/>
      <c r="H663" s="221"/>
      <c r="I663" s="222"/>
      <c r="J663" s="230"/>
      <c r="K663" s="43"/>
      <c r="L663" s="241"/>
      <c r="M663" s="43" t="s">
        <v>152</v>
      </c>
      <c r="N663" s="86">
        <f>2*400</f>
        <v>800</v>
      </c>
      <c r="O663" s="35">
        <v>157.963033650282</v>
      </c>
      <c r="P663" s="35"/>
      <c r="Q663" s="35"/>
      <c r="R663" s="146">
        <f t="shared" si="70"/>
        <v>157.963033650282</v>
      </c>
      <c r="S663" s="2">
        <f t="shared" si="69"/>
        <v>0.21462368702483967</v>
      </c>
    </row>
    <row r="664" spans="1:19" x14ac:dyDescent="0.25">
      <c r="A664" s="243"/>
      <c r="B664" s="230"/>
      <c r="C664" s="230"/>
      <c r="D664" s="230"/>
      <c r="E664" s="230"/>
      <c r="F664" s="221"/>
      <c r="G664" s="222"/>
      <c r="H664" s="221"/>
      <c r="I664" s="222"/>
      <c r="J664" s="230"/>
      <c r="K664" s="43"/>
      <c r="L664" s="241"/>
      <c r="M664" s="43" t="s">
        <v>153</v>
      </c>
      <c r="N664" s="1">
        <f t="shared" ref="N664:N666" si="73">2*630</f>
        <v>1260</v>
      </c>
      <c r="O664" s="35">
        <v>138.217654443996</v>
      </c>
      <c r="P664" s="35"/>
      <c r="Q664" s="35"/>
      <c r="R664" s="146">
        <f t="shared" si="70"/>
        <v>138.217654443996</v>
      </c>
      <c r="S664" s="2">
        <f t="shared" si="69"/>
        <v>0.11923538168046584</v>
      </c>
    </row>
    <row r="665" spans="1:19" x14ac:dyDescent="0.25">
      <c r="A665" s="243"/>
      <c r="B665" s="230"/>
      <c r="C665" s="230"/>
      <c r="D665" s="230"/>
      <c r="E665" s="230"/>
      <c r="F665" s="221"/>
      <c r="G665" s="222"/>
      <c r="H665" s="221"/>
      <c r="I665" s="222"/>
      <c r="J665" s="230"/>
      <c r="K665" s="43"/>
      <c r="L665" s="241"/>
      <c r="M665" s="43" t="s">
        <v>1078</v>
      </c>
      <c r="N665" s="1">
        <f t="shared" si="73"/>
        <v>1260</v>
      </c>
      <c r="O665" s="35">
        <v>184.29020592532899</v>
      </c>
      <c r="P665" s="35"/>
      <c r="Q665" s="35">
        <f>93.1</f>
        <v>93.1</v>
      </c>
      <c r="R665" s="146">
        <f t="shared" si="70"/>
        <v>277.39020592532898</v>
      </c>
      <c r="S665" s="2">
        <f t="shared" si="69"/>
        <v>0.23929451856912437</v>
      </c>
    </row>
    <row r="666" spans="1:19" x14ac:dyDescent="0.25">
      <c r="A666" s="243"/>
      <c r="B666" s="230"/>
      <c r="C666" s="230"/>
      <c r="D666" s="230"/>
      <c r="E666" s="230"/>
      <c r="F666" s="221"/>
      <c r="G666" s="222"/>
      <c r="H666" s="221"/>
      <c r="I666" s="222"/>
      <c r="J666" s="230"/>
      <c r="K666" s="43"/>
      <c r="L666" s="241"/>
      <c r="M666" s="43" t="s">
        <v>1061</v>
      </c>
      <c r="N666" s="1">
        <f t="shared" si="73"/>
        <v>1260</v>
      </c>
      <c r="O666" s="35">
        <v>113.206840782702</v>
      </c>
      <c r="P666" s="35"/>
      <c r="Q666" s="35"/>
      <c r="R666" s="146">
        <f t="shared" si="70"/>
        <v>113.206840782702</v>
      </c>
      <c r="S666" s="2">
        <f t="shared" si="69"/>
        <v>9.7659455471620082E-2</v>
      </c>
    </row>
    <row r="667" spans="1:19" x14ac:dyDescent="0.25">
      <c r="A667" s="243"/>
      <c r="B667" s="230"/>
      <c r="C667" s="230"/>
      <c r="D667" s="230"/>
      <c r="E667" s="230"/>
      <c r="F667" s="221"/>
      <c r="G667" s="222"/>
      <c r="H667" s="221"/>
      <c r="I667" s="222"/>
      <c r="J667" s="230"/>
      <c r="K667" s="43"/>
      <c r="L667" s="241"/>
      <c r="M667" s="43" t="s">
        <v>377</v>
      </c>
      <c r="N667" s="14">
        <v>630</v>
      </c>
      <c r="O667" s="35">
        <v>151.38124058151999</v>
      </c>
      <c r="P667" s="35"/>
      <c r="Q667" s="35"/>
      <c r="R667" s="146">
        <f t="shared" si="70"/>
        <v>151.38124058151999</v>
      </c>
      <c r="S667" s="2">
        <f t="shared" si="69"/>
        <v>0.26118226463340233</v>
      </c>
    </row>
    <row r="668" spans="1:19" x14ac:dyDescent="0.25">
      <c r="A668" s="243"/>
      <c r="B668" s="230"/>
      <c r="C668" s="230"/>
      <c r="D668" s="230"/>
      <c r="E668" s="230"/>
      <c r="F668" s="221"/>
      <c r="G668" s="222"/>
      <c r="H668" s="221"/>
      <c r="I668" s="222"/>
      <c r="J668" s="230"/>
      <c r="K668" s="43"/>
      <c r="L668" s="241"/>
      <c r="M668" s="43" t="s">
        <v>1079</v>
      </c>
      <c r="N668" s="14">
        <v>250</v>
      </c>
      <c r="O668" s="35">
        <v>100.701433952055</v>
      </c>
      <c r="P668" s="35"/>
      <c r="Q668" s="35"/>
      <c r="R668" s="146">
        <f t="shared" si="70"/>
        <v>100.701433952055</v>
      </c>
      <c r="S668" s="2">
        <f t="shared" si="69"/>
        <v>0.43783232153067392</v>
      </c>
    </row>
    <row r="669" spans="1:19" x14ac:dyDescent="0.25">
      <c r="A669" s="243"/>
      <c r="B669" s="230"/>
      <c r="C669" s="230"/>
      <c r="D669" s="230"/>
      <c r="E669" s="230"/>
      <c r="F669" s="221"/>
      <c r="G669" s="222"/>
      <c r="H669" s="221"/>
      <c r="I669" s="222"/>
      <c r="J669" s="230"/>
      <c r="K669" s="43"/>
      <c r="L669" s="241"/>
      <c r="M669" s="43" t="s">
        <v>1080</v>
      </c>
      <c r="N669" s="86">
        <f>2*400</f>
        <v>800</v>
      </c>
      <c r="O669" s="35">
        <v>105.308689100188</v>
      </c>
      <c r="P669" s="35"/>
      <c r="Q669" s="35"/>
      <c r="R669" s="146">
        <f t="shared" si="70"/>
        <v>105.308689100188</v>
      </c>
      <c r="S669" s="2">
        <f t="shared" si="69"/>
        <v>0.14308245801655978</v>
      </c>
    </row>
    <row r="670" spans="1:19" x14ac:dyDescent="0.25">
      <c r="A670" s="243"/>
      <c r="B670" s="230"/>
      <c r="C670" s="230"/>
      <c r="D670" s="230"/>
      <c r="E670" s="230"/>
      <c r="F670" s="221"/>
      <c r="G670" s="222"/>
      <c r="H670" s="221"/>
      <c r="I670" s="222"/>
      <c r="J670" s="230"/>
      <c r="K670" s="43"/>
      <c r="L670" s="241"/>
      <c r="M670" s="43" t="s">
        <v>1081</v>
      </c>
      <c r="N670" s="14">
        <f>2*1250</f>
        <v>2500</v>
      </c>
      <c r="O670" s="35">
        <v>200.74468859723299</v>
      </c>
      <c r="P670" s="35"/>
      <c r="Q670" s="35"/>
      <c r="R670" s="146">
        <f t="shared" si="70"/>
        <v>200.74468859723299</v>
      </c>
      <c r="S670" s="2">
        <f t="shared" si="69"/>
        <v>8.7280299390101304E-2</v>
      </c>
    </row>
    <row r="671" spans="1:19" x14ac:dyDescent="0.25">
      <c r="A671" s="243"/>
      <c r="B671" s="230"/>
      <c r="C671" s="230"/>
      <c r="D671" s="230"/>
      <c r="E671" s="230"/>
      <c r="F671" s="221"/>
      <c r="G671" s="222"/>
      <c r="H671" s="221"/>
      <c r="I671" s="222"/>
      <c r="J671" s="230"/>
      <c r="K671" s="43"/>
      <c r="L671" s="241"/>
      <c r="M671" s="43" t="s">
        <v>1041</v>
      </c>
      <c r="N671" s="1">
        <f t="shared" ref="N671:N672" si="74">2*630</f>
        <v>1260</v>
      </c>
      <c r="O671" s="35">
        <v>177.70841285656701</v>
      </c>
      <c r="P671" s="35"/>
      <c r="Q671" s="35"/>
      <c r="R671" s="146">
        <f t="shared" si="70"/>
        <v>177.70841285656701</v>
      </c>
      <c r="S671" s="2">
        <f t="shared" ref="S671:S684" si="75">R671/(N671*0.92)</f>
        <v>0.15330263358917098</v>
      </c>
    </row>
    <row r="672" spans="1:19" x14ac:dyDescent="0.25">
      <c r="A672" s="243"/>
      <c r="B672" s="230"/>
      <c r="C672" s="230"/>
      <c r="D672" s="230"/>
      <c r="E672" s="230"/>
      <c r="F672" s="221"/>
      <c r="G672" s="222"/>
      <c r="H672" s="221"/>
      <c r="I672" s="222"/>
      <c r="J672" s="230"/>
      <c r="K672" s="43"/>
      <c r="L672" s="241"/>
      <c r="M672" s="43" t="s">
        <v>1064</v>
      </c>
      <c r="N672" s="1">
        <f t="shared" si="74"/>
        <v>1260</v>
      </c>
      <c r="O672" s="35">
        <v>266.56261928484997</v>
      </c>
      <c r="P672" s="35"/>
      <c r="Q672" s="35"/>
      <c r="R672" s="146">
        <f t="shared" ref="R672:R735" si="76">O672+P672+Q672</f>
        <v>266.56261928484997</v>
      </c>
      <c r="S672" s="2">
        <f t="shared" si="75"/>
        <v>0.22995395038375602</v>
      </c>
    </row>
    <row r="673" spans="1:19" x14ac:dyDescent="0.25">
      <c r="A673" s="243"/>
      <c r="B673" s="230"/>
      <c r="C673" s="230"/>
      <c r="D673" s="230"/>
      <c r="E673" s="230"/>
      <c r="F673" s="221"/>
      <c r="G673" s="222"/>
      <c r="H673" s="221"/>
      <c r="I673" s="222"/>
      <c r="J673" s="230"/>
      <c r="K673" s="43"/>
      <c r="L673" s="241"/>
      <c r="M673" s="43" t="s">
        <v>1082</v>
      </c>
      <c r="N673" s="14">
        <v>250</v>
      </c>
      <c r="O673" s="35">
        <v>1.31635861375235</v>
      </c>
      <c r="P673" s="35"/>
      <c r="Q673" s="35"/>
      <c r="R673" s="146">
        <f t="shared" si="76"/>
        <v>1.31635861375235</v>
      </c>
      <c r="S673" s="2">
        <f t="shared" si="75"/>
        <v>5.7232983206623915E-3</v>
      </c>
    </row>
    <row r="674" spans="1:19" x14ac:dyDescent="0.25">
      <c r="A674" s="243"/>
      <c r="B674" s="230"/>
      <c r="C674" s="230"/>
      <c r="D674" s="230"/>
      <c r="E674" s="230"/>
      <c r="F674" s="221"/>
      <c r="G674" s="222"/>
      <c r="H674" s="221"/>
      <c r="I674" s="222"/>
      <c r="J674" s="230"/>
      <c r="K674" s="43"/>
      <c r="L674" s="241"/>
      <c r="M674" s="43" t="s">
        <v>312</v>
      </c>
      <c r="N674" s="1">
        <f>2*630</f>
        <v>1260</v>
      </c>
      <c r="O674" s="35">
        <v>386.35125313631403</v>
      </c>
      <c r="P674" s="35"/>
      <c r="Q674" s="35"/>
      <c r="R674" s="146">
        <f t="shared" si="76"/>
        <v>386.35125313631403</v>
      </c>
      <c r="S674" s="2">
        <f t="shared" si="75"/>
        <v>0.33329128117349383</v>
      </c>
    </row>
    <row r="675" spans="1:19" x14ac:dyDescent="0.25">
      <c r="A675" s="243"/>
      <c r="B675" s="230"/>
      <c r="C675" s="230"/>
      <c r="D675" s="230"/>
      <c r="E675" s="230"/>
      <c r="F675" s="221"/>
      <c r="G675" s="222"/>
      <c r="H675" s="221"/>
      <c r="I675" s="222"/>
      <c r="J675" s="230"/>
      <c r="K675" s="43"/>
      <c r="L675" s="241"/>
      <c r="M675" s="43" t="s">
        <v>179</v>
      </c>
      <c r="N675" s="14">
        <v>160</v>
      </c>
      <c r="O675" s="35">
        <v>40.1489377194466</v>
      </c>
      <c r="P675" s="35"/>
      <c r="Q675" s="35">
        <f>5+5+5+5+5</f>
        <v>25</v>
      </c>
      <c r="R675" s="146">
        <f t="shared" si="76"/>
        <v>65.148937719446593</v>
      </c>
      <c r="S675" s="2">
        <f t="shared" si="75"/>
        <v>0.44258789211580563</v>
      </c>
    </row>
    <row r="676" spans="1:19" ht="31.5" x14ac:dyDescent="0.25">
      <c r="A676" s="243"/>
      <c r="B676" s="230"/>
      <c r="C676" s="230"/>
      <c r="D676" s="230"/>
      <c r="E676" s="230"/>
      <c r="F676" s="221"/>
      <c r="G676" s="222"/>
      <c r="H676" s="221"/>
      <c r="I676" s="222"/>
      <c r="J676" s="230"/>
      <c r="K676" s="43"/>
      <c r="L676" s="241"/>
      <c r="M676" s="43" t="s">
        <v>345</v>
      </c>
      <c r="N676" s="1">
        <f>2*630</f>
        <v>1260</v>
      </c>
      <c r="O676" s="35">
        <v>129.66132345460599</v>
      </c>
      <c r="P676" s="35"/>
      <c r="Q676" s="35"/>
      <c r="R676" s="146">
        <f t="shared" si="76"/>
        <v>129.66132345460599</v>
      </c>
      <c r="S676" s="2">
        <f t="shared" si="75"/>
        <v>0.11185414376691338</v>
      </c>
    </row>
    <row r="677" spans="1:19" x14ac:dyDescent="0.25">
      <c r="A677" s="243"/>
      <c r="B677" s="230"/>
      <c r="C677" s="230"/>
      <c r="D677" s="230"/>
      <c r="E677" s="230"/>
      <c r="F677" s="221"/>
      <c r="G677" s="222"/>
      <c r="H677" s="221"/>
      <c r="I677" s="222"/>
      <c r="J677" s="230"/>
      <c r="K677" s="43"/>
      <c r="L677" s="241"/>
      <c r="M677" s="43" t="s">
        <v>183</v>
      </c>
      <c r="N677" s="14">
        <v>40</v>
      </c>
      <c r="O677" s="35">
        <v>31</v>
      </c>
      <c r="P677" s="35"/>
      <c r="Q677" s="35"/>
      <c r="R677" s="146">
        <f t="shared" si="76"/>
        <v>31</v>
      </c>
      <c r="S677" s="2">
        <f t="shared" si="75"/>
        <v>0.84239130434782594</v>
      </c>
    </row>
    <row r="678" spans="1:19" ht="31.5" x14ac:dyDescent="0.25">
      <c r="A678" s="243"/>
      <c r="B678" s="230"/>
      <c r="C678" s="230"/>
      <c r="D678" s="230"/>
      <c r="E678" s="230"/>
      <c r="F678" s="221"/>
      <c r="G678" s="222"/>
      <c r="H678" s="221"/>
      <c r="I678" s="222"/>
      <c r="J678" s="230"/>
      <c r="K678" s="43"/>
      <c r="L678" s="241"/>
      <c r="M678" s="43" t="s">
        <v>349</v>
      </c>
      <c r="N678" s="1">
        <f>2*630</f>
        <v>1260</v>
      </c>
      <c r="O678" s="35">
        <v>94.119640883292803</v>
      </c>
      <c r="P678" s="35"/>
      <c r="Q678" s="35"/>
      <c r="R678" s="146">
        <f t="shared" si="76"/>
        <v>94.119640883292803</v>
      </c>
      <c r="S678" s="2">
        <f t="shared" si="75"/>
        <v>8.1193617049079361E-2</v>
      </c>
    </row>
    <row r="679" spans="1:19" x14ac:dyDescent="0.25">
      <c r="A679" s="243"/>
      <c r="B679" s="230"/>
      <c r="C679" s="230"/>
      <c r="D679" s="230"/>
      <c r="E679" s="230"/>
      <c r="F679" s="221"/>
      <c r="G679" s="222"/>
      <c r="H679" s="221"/>
      <c r="I679" s="222"/>
      <c r="J679" s="230"/>
      <c r="K679" s="43"/>
      <c r="L679" s="241"/>
      <c r="M679" s="43" t="s">
        <v>362</v>
      </c>
      <c r="N679" s="14">
        <f>100+250</f>
        <v>350</v>
      </c>
      <c r="O679" s="35">
        <v>90.828744348911897</v>
      </c>
      <c r="P679" s="35"/>
      <c r="Q679" s="35"/>
      <c r="R679" s="146">
        <f t="shared" si="76"/>
        <v>90.828744348911897</v>
      </c>
      <c r="S679" s="2">
        <f t="shared" si="75"/>
        <v>0.28207684580407422</v>
      </c>
    </row>
    <row r="680" spans="1:19" x14ac:dyDescent="0.25">
      <c r="A680" s="243"/>
      <c r="B680" s="230"/>
      <c r="C680" s="230"/>
      <c r="D680" s="230"/>
      <c r="E680" s="230"/>
      <c r="F680" s="221"/>
      <c r="G680" s="222"/>
      <c r="H680" s="221"/>
      <c r="I680" s="222"/>
      <c r="J680" s="230"/>
      <c r="K680" s="43"/>
      <c r="L680" s="241"/>
      <c r="M680" s="43" t="s">
        <v>371</v>
      </c>
      <c r="N680" s="1">
        <f>2*630</f>
        <v>1260</v>
      </c>
      <c r="O680" s="35">
        <v>54.628882470722402</v>
      </c>
      <c r="P680" s="35"/>
      <c r="Q680" s="35"/>
      <c r="R680" s="146">
        <f t="shared" si="76"/>
        <v>54.628882470722402</v>
      </c>
      <c r="S680" s="2">
        <f t="shared" si="75"/>
        <v>4.7126365140374743E-2</v>
      </c>
    </row>
    <row r="681" spans="1:19" ht="31.5" x14ac:dyDescent="0.25">
      <c r="A681" s="239"/>
      <c r="B681" s="230"/>
      <c r="C681" s="230"/>
      <c r="D681" s="230"/>
      <c r="E681" s="230"/>
      <c r="F681" s="223"/>
      <c r="G681" s="224"/>
      <c r="H681" s="223"/>
      <c r="I681" s="224"/>
      <c r="J681" s="231"/>
      <c r="K681" s="43"/>
      <c r="L681" s="242"/>
      <c r="M681" s="43" t="s">
        <v>379</v>
      </c>
      <c r="N681" s="86">
        <f>2*400</f>
        <v>800</v>
      </c>
      <c r="O681" s="35">
        <v>49.363448015712997</v>
      </c>
      <c r="P681" s="35"/>
      <c r="Q681" s="35">
        <f>20+15+15</f>
        <v>50</v>
      </c>
      <c r="R681" s="146">
        <f t="shared" si="76"/>
        <v>99.363448015713004</v>
      </c>
      <c r="S681" s="2">
        <f t="shared" si="75"/>
        <v>0.13500468480395789</v>
      </c>
    </row>
    <row r="682" spans="1:19" ht="15.75" customHeight="1" x14ac:dyDescent="0.25">
      <c r="A682" s="229">
        <v>15</v>
      </c>
      <c r="B682" s="230"/>
      <c r="C682" s="230"/>
      <c r="D682" s="230"/>
      <c r="E682" s="230"/>
      <c r="F682" s="219" t="s">
        <v>1083</v>
      </c>
      <c r="G682" s="220"/>
      <c r="H682" s="219" t="s">
        <v>709</v>
      </c>
      <c r="I682" s="220"/>
      <c r="J682" s="229"/>
      <c r="K682" s="43"/>
      <c r="L682" s="240">
        <f>SUM(S682:S684)</f>
        <v>0.50989049977274625</v>
      </c>
      <c r="M682" s="43" t="s">
        <v>1084</v>
      </c>
      <c r="N682" s="14">
        <v>250</v>
      </c>
      <c r="O682" s="35">
        <v>30.9344274231801</v>
      </c>
      <c r="P682" s="35"/>
      <c r="Q682" s="35"/>
      <c r="R682" s="146">
        <f t="shared" si="76"/>
        <v>30.9344274231801</v>
      </c>
      <c r="S682" s="2">
        <f t="shared" si="75"/>
        <v>0.13449751053556566</v>
      </c>
    </row>
    <row r="683" spans="1:19" x14ac:dyDescent="0.25">
      <c r="A683" s="230"/>
      <c r="B683" s="230"/>
      <c r="C683" s="230"/>
      <c r="D683" s="230"/>
      <c r="E683" s="230"/>
      <c r="F683" s="221"/>
      <c r="G683" s="222"/>
      <c r="H683" s="221"/>
      <c r="I683" s="222"/>
      <c r="J683" s="230"/>
      <c r="K683" s="43"/>
      <c r="L683" s="241"/>
      <c r="M683" s="43" t="s">
        <v>1085</v>
      </c>
      <c r="N683" s="14">
        <v>160</v>
      </c>
      <c r="O683" s="35">
        <v>49.363448015712997</v>
      </c>
      <c r="P683" s="35"/>
      <c r="Q683" s="35"/>
      <c r="R683" s="146">
        <f t="shared" si="76"/>
        <v>49.363448015712997</v>
      </c>
      <c r="S683" s="2">
        <f t="shared" si="75"/>
        <v>0.3353495109763111</v>
      </c>
    </row>
    <row r="684" spans="1:19" x14ac:dyDescent="0.25">
      <c r="A684" s="231"/>
      <c r="B684" s="231"/>
      <c r="C684" s="231"/>
      <c r="D684" s="231"/>
      <c r="E684" s="231"/>
      <c r="F684" s="223"/>
      <c r="G684" s="224"/>
      <c r="H684" s="223"/>
      <c r="I684" s="224"/>
      <c r="J684" s="231"/>
      <c r="K684" s="43"/>
      <c r="L684" s="242"/>
      <c r="M684" s="43" t="s">
        <v>1058</v>
      </c>
      <c r="N684" s="14">
        <v>250</v>
      </c>
      <c r="O684" s="14">
        <v>9.2100000000000009</v>
      </c>
      <c r="P684" s="14"/>
      <c r="Q684" s="14"/>
      <c r="R684" s="146">
        <f t="shared" si="76"/>
        <v>9.2100000000000009</v>
      </c>
      <c r="S684" s="2">
        <f t="shared" si="75"/>
        <v>4.0043478260869569E-2</v>
      </c>
    </row>
    <row r="685" spans="1:19" ht="15.75" hidden="1" customHeight="1" x14ac:dyDescent="0.25">
      <c r="A685" s="43"/>
      <c r="B685" s="225" t="s">
        <v>64</v>
      </c>
      <c r="C685" s="226"/>
      <c r="D685" s="226"/>
      <c r="E685" s="226"/>
      <c r="F685" s="226"/>
      <c r="G685" s="226"/>
      <c r="H685" s="226"/>
      <c r="I685" s="227"/>
      <c r="J685" s="153"/>
      <c r="K685" s="153"/>
      <c r="L685" s="153"/>
      <c r="M685" s="153"/>
      <c r="N685" s="154"/>
      <c r="O685" s="154"/>
      <c r="P685" s="154"/>
      <c r="Q685" s="154"/>
      <c r="R685" s="156">
        <f t="shared" si="76"/>
        <v>0</v>
      </c>
      <c r="S685" s="154"/>
    </row>
    <row r="686" spans="1:19" ht="15.75" customHeight="1" x14ac:dyDescent="0.25">
      <c r="A686" s="229">
        <v>16</v>
      </c>
      <c r="B686" s="229" t="s">
        <v>60</v>
      </c>
      <c r="C686" s="229" t="s">
        <v>65</v>
      </c>
      <c r="D686" s="229" t="s">
        <v>3</v>
      </c>
      <c r="E686" s="238"/>
      <c r="F686" s="219" t="s">
        <v>85</v>
      </c>
      <c r="G686" s="220"/>
      <c r="H686" s="219" t="s">
        <v>709</v>
      </c>
      <c r="I686" s="220"/>
      <c r="J686" s="229"/>
      <c r="K686" s="43"/>
      <c r="L686" s="229">
        <f>SUM(S686:S697)</f>
        <v>5.1948116072356116</v>
      </c>
      <c r="M686" s="43" t="s">
        <v>403</v>
      </c>
      <c r="N686" s="14">
        <v>250</v>
      </c>
      <c r="O686" s="14">
        <v>34.880000000000003</v>
      </c>
      <c r="P686" s="14"/>
      <c r="Q686" s="14"/>
      <c r="R686" s="146">
        <f t="shared" si="76"/>
        <v>34.880000000000003</v>
      </c>
      <c r="S686" s="2">
        <f t="shared" ref="S686:S707" si="77">R686/(N686*0.92)</f>
        <v>0.1516521739130435</v>
      </c>
    </row>
    <row r="687" spans="1:19" x14ac:dyDescent="0.25">
      <c r="A687" s="230"/>
      <c r="B687" s="230"/>
      <c r="C687" s="230"/>
      <c r="D687" s="230"/>
      <c r="E687" s="243"/>
      <c r="F687" s="221"/>
      <c r="G687" s="222"/>
      <c r="H687" s="221"/>
      <c r="I687" s="222"/>
      <c r="J687" s="230"/>
      <c r="K687" s="43"/>
      <c r="L687" s="230"/>
      <c r="M687" s="43" t="s">
        <v>290</v>
      </c>
      <c r="N687" s="1">
        <f>2*630</f>
        <v>1260</v>
      </c>
      <c r="O687" s="14">
        <v>11.85</v>
      </c>
      <c r="P687" s="14"/>
      <c r="Q687" s="14"/>
      <c r="R687" s="146">
        <f t="shared" si="76"/>
        <v>11.85</v>
      </c>
      <c r="S687" s="2">
        <f t="shared" si="77"/>
        <v>1.0222567287784678E-2</v>
      </c>
    </row>
    <row r="688" spans="1:19" x14ac:dyDescent="0.25">
      <c r="A688" s="230"/>
      <c r="B688" s="230"/>
      <c r="C688" s="230"/>
      <c r="D688" s="230"/>
      <c r="E688" s="243"/>
      <c r="F688" s="221"/>
      <c r="G688" s="222"/>
      <c r="H688" s="221"/>
      <c r="I688" s="222"/>
      <c r="J688" s="230"/>
      <c r="K688" s="43"/>
      <c r="L688" s="230"/>
      <c r="M688" s="43" t="s">
        <v>405</v>
      </c>
      <c r="N688" s="14">
        <v>160</v>
      </c>
      <c r="O688" s="14">
        <v>99.39</v>
      </c>
      <c r="P688" s="14"/>
      <c r="Q688" s="14"/>
      <c r="R688" s="146">
        <f t="shared" si="76"/>
        <v>99.39</v>
      </c>
      <c r="S688" s="2">
        <f t="shared" si="77"/>
        <v>0.67520380434782601</v>
      </c>
    </row>
    <row r="689" spans="1:19" x14ac:dyDescent="0.25">
      <c r="A689" s="230"/>
      <c r="B689" s="230"/>
      <c r="C689" s="230"/>
      <c r="D689" s="230"/>
      <c r="E689" s="243"/>
      <c r="F689" s="221"/>
      <c r="G689" s="222"/>
      <c r="H689" s="221"/>
      <c r="I689" s="222"/>
      <c r="J689" s="230"/>
      <c r="K689" s="43"/>
      <c r="L689" s="230"/>
      <c r="M689" s="43" t="s">
        <v>1086</v>
      </c>
      <c r="N689" s="14">
        <v>160</v>
      </c>
      <c r="O689" s="35">
        <v>63.1852134601126</v>
      </c>
      <c r="P689" s="35"/>
      <c r="Q689" s="35"/>
      <c r="R689" s="146">
        <f t="shared" si="76"/>
        <v>63.1852134601126</v>
      </c>
      <c r="S689" s="2">
        <f t="shared" si="77"/>
        <v>0.42924737404967794</v>
      </c>
    </row>
    <row r="690" spans="1:19" x14ac:dyDescent="0.25">
      <c r="A690" s="230"/>
      <c r="B690" s="230"/>
      <c r="C690" s="230"/>
      <c r="D690" s="230"/>
      <c r="E690" s="243"/>
      <c r="F690" s="221"/>
      <c r="G690" s="222"/>
      <c r="H690" s="221"/>
      <c r="I690" s="222"/>
      <c r="J690" s="230"/>
      <c r="K690" s="43"/>
      <c r="L690" s="230"/>
      <c r="M690" s="43" t="s">
        <v>1087</v>
      </c>
      <c r="N690" s="14">
        <v>630</v>
      </c>
      <c r="O690" s="35">
        <v>86.879668507654898</v>
      </c>
      <c r="P690" s="35"/>
      <c r="Q690" s="35"/>
      <c r="R690" s="146">
        <f t="shared" si="76"/>
        <v>86.879668507654898</v>
      </c>
      <c r="S690" s="2">
        <f t="shared" si="77"/>
        <v>0.14989590839830036</v>
      </c>
    </row>
    <row r="691" spans="1:19" ht="31.5" x14ac:dyDescent="0.25">
      <c r="A691" s="230"/>
      <c r="B691" s="230"/>
      <c r="C691" s="230"/>
      <c r="D691" s="230"/>
      <c r="E691" s="243"/>
      <c r="F691" s="221"/>
      <c r="G691" s="222"/>
      <c r="H691" s="221"/>
      <c r="I691" s="222"/>
      <c r="J691" s="230"/>
      <c r="K691" s="43"/>
      <c r="L691" s="230"/>
      <c r="M691" s="43" t="s">
        <v>1088</v>
      </c>
      <c r="N691" s="14">
        <f>2*25</f>
        <v>50</v>
      </c>
      <c r="O691" s="35">
        <v>11.1890482168949</v>
      </c>
      <c r="P691" s="35"/>
      <c r="Q691" s="35"/>
      <c r="R691" s="146">
        <f t="shared" si="76"/>
        <v>11.1890482168949</v>
      </c>
      <c r="S691" s="2">
        <f t="shared" si="77"/>
        <v>0.24324017862815001</v>
      </c>
    </row>
    <row r="692" spans="1:19" x14ac:dyDescent="0.25">
      <c r="A692" s="230"/>
      <c r="B692" s="230"/>
      <c r="C692" s="230"/>
      <c r="D692" s="230"/>
      <c r="E692" s="243"/>
      <c r="F692" s="221"/>
      <c r="G692" s="222"/>
      <c r="H692" s="221"/>
      <c r="I692" s="222"/>
      <c r="J692" s="230"/>
      <c r="K692" s="43"/>
      <c r="L692" s="230"/>
      <c r="M692" s="43" t="s">
        <v>365</v>
      </c>
      <c r="N692" s="14">
        <v>25</v>
      </c>
      <c r="O692" s="35">
        <v>21.0617378200375</v>
      </c>
      <c r="P692" s="35"/>
      <c r="Q692" s="35"/>
      <c r="R692" s="146">
        <f t="shared" si="76"/>
        <v>21.0617378200375</v>
      </c>
      <c r="S692" s="2">
        <f t="shared" si="77"/>
        <v>0.91572773130597829</v>
      </c>
    </row>
    <row r="693" spans="1:19" ht="31.5" x14ac:dyDescent="0.25">
      <c r="A693" s="230"/>
      <c r="B693" s="230"/>
      <c r="C693" s="230"/>
      <c r="D693" s="230"/>
      <c r="E693" s="243"/>
      <c r="F693" s="221"/>
      <c r="G693" s="222"/>
      <c r="H693" s="221"/>
      <c r="I693" s="222"/>
      <c r="J693" s="230"/>
      <c r="K693" s="43"/>
      <c r="L693" s="230"/>
      <c r="M693" s="43" t="s">
        <v>1089</v>
      </c>
      <c r="N693" s="1">
        <f>2*630</f>
        <v>1260</v>
      </c>
      <c r="O693" s="35">
        <v>168.4939025603</v>
      </c>
      <c r="P693" s="35"/>
      <c r="Q693" s="35"/>
      <c r="R693" s="146">
        <f t="shared" si="76"/>
        <v>168.4939025603</v>
      </c>
      <c r="S693" s="2">
        <f t="shared" si="77"/>
        <v>0.14535360814380607</v>
      </c>
    </row>
    <row r="694" spans="1:19" x14ac:dyDescent="0.25">
      <c r="A694" s="230"/>
      <c r="B694" s="230"/>
      <c r="C694" s="230"/>
      <c r="D694" s="230"/>
      <c r="E694" s="243"/>
      <c r="F694" s="221"/>
      <c r="G694" s="222"/>
      <c r="H694" s="221"/>
      <c r="I694" s="222"/>
      <c r="J694" s="230"/>
      <c r="K694" s="43"/>
      <c r="L694" s="230"/>
      <c r="M694" s="43" t="s">
        <v>381</v>
      </c>
      <c r="N694" s="14">
        <v>25</v>
      </c>
      <c r="O694" s="35">
        <v>25.668992968170802</v>
      </c>
      <c r="P694" s="35"/>
      <c r="Q694" s="35"/>
      <c r="R694" s="146">
        <f t="shared" si="76"/>
        <v>25.668992968170802</v>
      </c>
      <c r="S694" s="2">
        <f t="shared" si="77"/>
        <v>1.1160431725291653</v>
      </c>
    </row>
    <row r="695" spans="1:19" x14ac:dyDescent="0.25">
      <c r="A695" s="230"/>
      <c r="B695" s="230"/>
      <c r="C695" s="230"/>
      <c r="D695" s="230"/>
      <c r="E695" s="243"/>
      <c r="F695" s="221"/>
      <c r="G695" s="222"/>
      <c r="H695" s="221"/>
      <c r="I695" s="222"/>
      <c r="J695" s="230"/>
      <c r="K695" s="43"/>
      <c r="L695" s="230"/>
      <c r="M695" s="43" t="s">
        <v>1090</v>
      </c>
      <c r="N695" s="14">
        <v>250</v>
      </c>
      <c r="O695" s="35">
        <v>86.879668507654898</v>
      </c>
      <c r="P695" s="35"/>
      <c r="Q695" s="35"/>
      <c r="R695" s="146">
        <f t="shared" si="76"/>
        <v>86.879668507654898</v>
      </c>
      <c r="S695" s="2">
        <f t="shared" si="77"/>
        <v>0.37773768916371697</v>
      </c>
    </row>
    <row r="696" spans="1:19" x14ac:dyDescent="0.25">
      <c r="A696" s="230"/>
      <c r="B696" s="230"/>
      <c r="C696" s="230"/>
      <c r="D696" s="230"/>
      <c r="E696" s="243"/>
      <c r="F696" s="221"/>
      <c r="G696" s="222"/>
      <c r="H696" s="221"/>
      <c r="I696" s="222"/>
      <c r="J696" s="230"/>
      <c r="K696" s="43"/>
      <c r="L696" s="230"/>
      <c r="M696" s="43" t="s">
        <v>1091</v>
      </c>
      <c r="N696" s="14">
        <v>100</v>
      </c>
      <c r="O696" s="35">
        <v>77.665158211388402</v>
      </c>
      <c r="P696" s="35"/>
      <c r="Q696" s="35"/>
      <c r="R696" s="146">
        <f t="shared" si="76"/>
        <v>77.665158211388402</v>
      </c>
      <c r="S696" s="2">
        <f t="shared" si="77"/>
        <v>0.84418650229769998</v>
      </c>
    </row>
    <row r="697" spans="1:19" x14ac:dyDescent="0.25">
      <c r="A697" s="231"/>
      <c r="B697" s="230"/>
      <c r="C697" s="230"/>
      <c r="D697" s="230"/>
      <c r="E697" s="243"/>
      <c r="F697" s="223"/>
      <c r="G697" s="224"/>
      <c r="H697" s="221"/>
      <c r="I697" s="222"/>
      <c r="J697" s="230"/>
      <c r="K697" s="43"/>
      <c r="L697" s="231"/>
      <c r="M697" s="43" t="s">
        <v>1092</v>
      </c>
      <c r="N697" s="14">
        <v>63</v>
      </c>
      <c r="O697" s="9" t="s">
        <v>1093</v>
      </c>
      <c r="P697" s="9"/>
      <c r="Q697" s="9"/>
      <c r="R697" s="146">
        <f t="shared" si="76"/>
        <v>7.9</v>
      </c>
      <c r="S697" s="2">
        <f t="shared" si="77"/>
        <v>0.1363008971704624</v>
      </c>
    </row>
    <row r="698" spans="1:19" x14ac:dyDescent="0.25">
      <c r="A698" s="229">
        <v>17</v>
      </c>
      <c r="B698" s="230"/>
      <c r="C698" s="230"/>
      <c r="D698" s="230"/>
      <c r="E698" s="243"/>
      <c r="F698" s="219" t="s">
        <v>86</v>
      </c>
      <c r="G698" s="220"/>
      <c r="H698" s="221"/>
      <c r="I698" s="222"/>
      <c r="J698" s="230"/>
      <c r="K698" s="43"/>
      <c r="L698" s="229">
        <f>SUM(S698:S711)</f>
        <v>4.7185641881944562</v>
      </c>
      <c r="M698" s="43" t="s">
        <v>402</v>
      </c>
      <c r="N698" s="14">
        <v>250</v>
      </c>
      <c r="O698" s="14">
        <v>34.880000000000003</v>
      </c>
      <c r="P698" s="14"/>
      <c r="Q698" s="14"/>
      <c r="R698" s="146">
        <f t="shared" si="76"/>
        <v>34.880000000000003</v>
      </c>
      <c r="S698" s="2">
        <f t="shared" si="77"/>
        <v>0.1516521739130435</v>
      </c>
    </row>
    <row r="699" spans="1:19" x14ac:dyDescent="0.25">
      <c r="A699" s="230"/>
      <c r="B699" s="230"/>
      <c r="C699" s="230"/>
      <c r="D699" s="230"/>
      <c r="E699" s="243"/>
      <c r="F699" s="221"/>
      <c r="G699" s="222"/>
      <c r="H699" s="221"/>
      <c r="I699" s="222"/>
      <c r="J699" s="230"/>
      <c r="K699" s="43"/>
      <c r="L699" s="230"/>
      <c r="M699" s="43" t="s">
        <v>291</v>
      </c>
      <c r="N699" s="1">
        <f>2*630</f>
        <v>1260</v>
      </c>
      <c r="O699" s="14">
        <v>11.85</v>
      </c>
      <c r="P699" s="14"/>
      <c r="Q699" s="14"/>
      <c r="R699" s="146">
        <f t="shared" si="76"/>
        <v>11.85</v>
      </c>
      <c r="S699" s="2">
        <f t="shared" si="77"/>
        <v>1.0222567287784678E-2</v>
      </c>
    </row>
    <row r="700" spans="1:19" x14ac:dyDescent="0.25">
      <c r="A700" s="230"/>
      <c r="B700" s="230"/>
      <c r="C700" s="230"/>
      <c r="D700" s="230"/>
      <c r="E700" s="243"/>
      <c r="F700" s="221"/>
      <c r="G700" s="222"/>
      <c r="H700" s="221"/>
      <c r="I700" s="222"/>
      <c r="J700" s="230"/>
      <c r="K700" s="43"/>
      <c r="L700" s="230"/>
      <c r="M700" s="43" t="s">
        <v>404</v>
      </c>
      <c r="N700" s="14">
        <v>160</v>
      </c>
      <c r="O700" s="14">
        <v>99.39</v>
      </c>
      <c r="P700" s="14"/>
      <c r="Q700" s="14"/>
      <c r="R700" s="146">
        <f t="shared" si="76"/>
        <v>99.39</v>
      </c>
      <c r="S700" s="2">
        <f t="shared" si="77"/>
        <v>0.67520380434782601</v>
      </c>
    </row>
    <row r="701" spans="1:19" x14ac:dyDescent="0.25">
      <c r="A701" s="230"/>
      <c r="B701" s="230"/>
      <c r="C701" s="230"/>
      <c r="D701" s="230"/>
      <c r="E701" s="243"/>
      <c r="F701" s="221"/>
      <c r="G701" s="222"/>
      <c r="H701" s="221"/>
      <c r="I701" s="222"/>
      <c r="J701" s="230"/>
      <c r="K701" s="43"/>
      <c r="L701" s="230"/>
      <c r="M701" s="43" t="s">
        <v>165</v>
      </c>
      <c r="N701" s="14">
        <v>160</v>
      </c>
      <c r="O701" s="14">
        <v>3.95</v>
      </c>
      <c r="P701" s="14"/>
      <c r="Q701" s="14"/>
      <c r="R701" s="146">
        <f t="shared" si="76"/>
        <v>3.95</v>
      </c>
      <c r="S701" s="2">
        <f t="shared" si="77"/>
        <v>2.683423913043478E-2</v>
      </c>
    </row>
    <row r="702" spans="1:19" x14ac:dyDescent="0.25">
      <c r="A702" s="230"/>
      <c r="B702" s="230"/>
      <c r="C702" s="230"/>
      <c r="D702" s="230"/>
      <c r="E702" s="243"/>
      <c r="F702" s="221"/>
      <c r="G702" s="222"/>
      <c r="H702" s="221"/>
      <c r="I702" s="222"/>
      <c r="J702" s="230"/>
      <c r="K702" s="43"/>
      <c r="L702" s="230"/>
      <c r="M702" s="43" t="s">
        <v>335</v>
      </c>
      <c r="N702" s="14">
        <v>250</v>
      </c>
      <c r="O702" s="14">
        <v>134</v>
      </c>
      <c r="P702" s="14"/>
      <c r="Q702" s="14"/>
      <c r="R702" s="146">
        <f t="shared" si="76"/>
        <v>134</v>
      </c>
      <c r="S702" s="2">
        <f t="shared" si="77"/>
        <v>0.58260869565217388</v>
      </c>
    </row>
    <row r="703" spans="1:19" x14ac:dyDescent="0.25">
      <c r="A703" s="230"/>
      <c r="B703" s="230"/>
      <c r="C703" s="230"/>
      <c r="D703" s="230"/>
      <c r="E703" s="243"/>
      <c r="F703" s="221"/>
      <c r="G703" s="222"/>
      <c r="H703" s="221"/>
      <c r="I703" s="222"/>
      <c r="J703" s="230"/>
      <c r="K703" s="43"/>
      <c r="L703" s="230"/>
      <c r="M703" s="43" t="s">
        <v>263</v>
      </c>
      <c r="N703" s="14">
        <v>250</v>
      </c>
      <c r="O703" s="14">
        <v>16.45</v>
      </c>
      <c r="P703" s="14"/>
      <c r="Q703" s="14"/>
      <c r="R703" s="146">
        <f t="shared" si="76"/>
        <v>16.45</v>
      </c>
      <c r="S703" s="2">
        <f t="shared" si="77"/>
        <v>7.1521739130434775E-2</v>
      </c>
    </row>
    <row r="704" spans="1:19" x14ac:dyDescent="0.25">
      <c r="A704" s="230"/>
      <c r="B704" s="230"/>
      <c r="C704" s="230"/>
      <c r="D704" s="230"/>
      <c r="E704" s="243"/>
      <c r="F704" s="221"/>
      <c r="G704" s="222"/>
      <c r="H704" s="221"/>
      <c r="I704" s="222"/>
      <c r="J704" s="230"/>
      <c r="K704" s="43"/>
      <c r="L704" s="230"/>
      <c r="M704" s="43" t="s">
        <v>548</v>
      </c>
      <c r="N704" s="14">
        <v>40</v>
      </c>
      <c r="O704" s="35">
        <v>25.010813661294598</v>
      </c>
      <c r="P704" s="35"/>
      <c r="Q704" s="35"/>
      <c r="R704" s="146">
        <f t="shared" si="76"/>
        <v>25.010813661294598</v>
      </c>
      <c r="S704" s="2">
        <f t="shared" si="77"/>
        <v>0.67964167557865751</v>
      </c>
    </row>
    <row r="705" spans="1:19" x14ac:dyDescent="0.25">
      <c r="A705" s="230"/>
      <c r="B705" s="230"/>
      <c r="C705" s="230"/>
      <c r="D705" s="230"/>
      <c r="E705" s="243"/>
      <c r="F705" s="221"/>
      <c r="G705" s="222"/>
      <c r="H705" s="221"/>
      <c r="I705" s="222"/>
      <c r="J705" s="230"/>
      <c r="K705" s="43"/>
      <c r="L705" s="230"/>
      <c r="M705" s="43" t="s">
        <v>169</v>
      </c>
      <c r="N705" s="14">
        <v>10</v>
      </c>
      <c r="O705" s="14">
        <v>0.66</v>
      </c>
      <c r="P705" s="14"/>
      <c r="Q705" s="14"/>
      <c r="R705" s="146">
        <f t="shared" si="76"/>
        <v>0.66</v>
      </c>
      <c r="S705" s="2">
        <f t="shared" si="77"/>
        <v>7.1739130434782597E-2</v>
      </c>
    </row>
    <row r="706" spans="1:19" x14ac:dyDescent="0.25">
      <c r="A706" s="230"/>
      <c r="B706" s="230"/>
      <c r="C706" s="230"/>
      <c r="D706" s="230"/>
      <c r="E706" s="243"/>
      <c r="F706" s="221"/>
      <c r="G706" s="222"/>
      <c r="H706" s="221"/>
      <c r="I706" s="222"/>
      <c r="J706" s="230"/>
      <c r="K706" s="43"/>
      <c r="L706" s="230"/>
      <c r="M706" s="43" t="s">
        <v>342</v>
      </c>
      <c r="N706" s="14">
        <v>250</v>
      </c>
      <c r="O706" s="35">
        <v>159.27939226403399</v>
      </c>
      <c r="P706" s="35"/>
      <c r="Q706" s="35"/>
      <c r="R706" s="146">
        <f t="shared" si="76"/>
        <v>159.27939226403399</v>
      </c>
      <c r="S706" s="2">
        <f t="shared" si="77"/>
        <v>0.69251909680014778</v>
      </c>
    </row>
    <row r="707" spans="1:19" x14ac:dyDescent="0.25">
      <c r="A707" s="230"/>
      <c r="B707" s="230"/>
      <c r="C707" s="230"/>
      <c r="D707" s="230"/>
      <c r="E707" s="243"/>
      <c r="F707" s="221"/>
      <c r="G707" s="222"/>
      <c r="H707" s="221"/>
      <c r="I707" s="222"/>
      <c r="J707" s="230"/>
      <c r="K707" s="43"/>
      <c r="L707" s="230"/>
      <c r="M707" s="43" t="s">
        <v>343</v>
      </c>
      <c r="N707" s="14">
        <v>400</v>
      </c>
      <c r="O707" s="35">
        <v>229.04639879290801</v>
      </c>
      <c r="P707" s="35"/>
      <c r="Q707" s="35"/>
      <c r="R707" s="146">
        <f t="shared" si="76"/>
        <v>229.04639879290801</v>
      </c>
      <c r="S707" s="2">
        <f t="shared" si="77"/>
        <v>0.62240869237203267</v>
      </c>
    </row>
    <row r="708" spans="1:19" hidden="1" x14ac:dyDescent="0.25">
      <c r="A708" s="230"/>
      <c r="B708" s="230"/>
      <c r="C708" s="230"/>
      <c r="D708" s="230"/>
      <c r="E708" s="243"/>
      <c r="F708" s="221"/>
      <c r="G708" s="222"/>
      <c r="H708" s="221"/>
      <c r="I708" s="222"/>
      <c r="J708" s="230"/>
      <c r="K708" s="43"/>
      <c r="L708" s="230"/>
      <c r="M708" s="43" t="s">
        <v>346</v>
      </c>
      <c r="N708" s="14">
        <v>160</v>
      </c>
      <c r="O708" s="35"/>
      <c r="P708" s="35"/>
      <c r="Q708" s="35"/>
      <c r="R708" s="146">
        <f t="shared" si="76"/>
        <v>0</v>
      </c>
      <c r="S708" s="35"/>
    </row>
    <row r="709" spans="1:19" ht="31.5" x14ac:dyDescent="0.25">
      <c r="A709" s="230"/>
      <c r="B709" s="230"/>
      <c r="C709" s="230"/>
      <c r="D709" s="230"/>
      <c r="E709" s="243"/>
      <c r="F709" s="221"/>
      <c r="G709" s="222"/>
      <c r="H709" s="221"/>
      <c r="I709" s="222"/>
      <c r="J709" s="230"/>
      <c r="K709" s="43"/>
      <c r="L709" s="230"/>
      <c r="M709" s="43" t="s">
        <v>1094</v>
      </c>
      <c r="N709" s="14">
        <f>2*25</f>
        <v>50</v>
      </c>
      <c r="O709" s="35">
        <v>25.010813661294598</v>
      </c>
      <c r="P709" s="35"/>
      <c r="Q709" s="35"/>
      <c r="R709" s="146">
        <f t="shared" si="76"/>
        <v>25.010813661294598</v>
      </c>
      <c r="S709" s="2">
        <f t="shared" ref="S709:S729" si="78">R709/(N709*0.92)</f>
        <v>0.54371334046292608</v>
      </c>
    </row>
    <row r="710" spans="1:19" ht="31.5" x14ac:dyDescent="0.25">
      <c r="A710" s="230"/>
      <c r="B710" s="230"/>
      <c r="C710" s="230"/>
      <c r="D710" s="230"/>
      <c r="E710" s="243"/>
      <c r="F710" s="221"/>
      <c r="G710" s="222"/>
      <c r="H710" s="221"/>
      <c r="I710" s="222"/>
      <c r="J710" s="230"/>
      <c r="K710" s="43"/>
      <c r="L710" s="230"/>
      <c r="M710" s="43" t="s">
        <v>1095</v>
      </c>
      <c r="N710" s="1">
        <f>2*630</f>
        <v>1260</v>
      </c>
      <c r="O710" s="35">
        <v>21.0617378200375</v>
      </c>
      <c r="P710" s="35"/>
      <c r="Q710" s="35"/>
      <c r="R710" s="146">
        <f t="shared" si="76"/>
        <v>21.0617378200375</v>
      </c>
      <c r="S710" s="2">
        <f t="shared" si="78"/>
        <v>1.8169201017975759E-2</v>
      </c>
    </row>
    <row r="711" spans="1:19" x14ac:dyDescent="0.25">
      <c r="A711" s="231"/>
      <c r="B711" s="230"/>
      <c r="C711" s="230"/>
      <c r="D711" s="230"/>
      <c r="E711" s="243"/>
      <c r="F711" s="223"/>
      <c r="G711" s="224"/>
      <c r="H711" s="221"/>
      <c r="I711" s="222"/>
      <c r="J711" s="231"/>
      <c r="K711" s="43"/>
      <c r="L711" s="231"/>
      <c r="M711" s="43" t="s">
        <v>1096</v>
      </c>
      <c r="N711" s="14">
        <v>40</v>
      </c>
      <c r="O711" s="35">
        <v>21.0617378200375</v>
      </c>
      <c r="P711" s="35"/>
      <c r="Q711" s="35"/>
      <c r="R711" s="146">
        <f t="shared" si="76"/>
        <v>21.0617378200375</v>
      </c>
      <c r="S711" s="2">
        <f t="shared" si="78"/>
        <v>0.57232983206623633</v>
      </c>
    </row>
    <row r="712" spans="1:19" x14ac:dyDescent="0.25">
      <c r="A712" s="229">
        <v>18</v>
      </c>
      <c r="B712" s="230"/>
      <c r="C712" s="230"/>
      <c r="D712" s="230"/>
      <c r="E712" s="243"/>
      <c r="F712" s="219" t="s">
        <v>287</v>
      </c>
      <c r="G712" s="220"/>
      <c r="H712" s="221"/>
      <c r="I712" s="222"/>
      <c r="J712" s="229"/>
      <c r="K712" s="43"/>
      <c r="L712" s="240">
        <f>SUM(S712:S729)</f>
        <v>6.5055209290806797</v>
      </c>
      <c r="M712" s="43" t="s">
        <v>1097</v>
      </c>
      <c r="N712" s="14">
        <v>250</v>
      </c>
      <c r="O712" s="35">
        <v>238.26090908917499</v>
      </c>
      <c r="P712" s="35"/>
      <c r="Q712" s="35">
        <f>3+11+5+11+11+15+10+5+15</f>
        <v>86</v>
      </c>
      <c r="R712" s="146">
        <f t="shared" si="76"/>
        <v>324.26090908917502</v>
      </c>
      <c r="S712" s="2">
        <f t="shared" si="78"/>
        <v>1.4098300395181522</v>
      </c>
    </row>
    <row r="713" spans="1:19" x14ac:dyDescent="0.25">
      <c r="A713" s="230"/>
      <c r="B713" s="230"/>
      <c r="C713" s="230"/>
      <c r="D713" s="230"/>
      <c r="E713" s="243"/>
      <c r="F713" s="221"/>
      <c r="G713" s="222"/>
      <c r="H713" s="221"/>
      <c r="I713" s="222"/>
      <c r="J713" s="230"/>
      <c r="K713" s="43"/>
      <c r="L713" s="241"/>
      <c r="M713" s="43" t="s">
        <v>1098</v>
      </c>
      <c r="N713" s="14">
        <v>250</v>
      </c>
      <c r="O713" s="35">
        <v>25.010813661294598</v>
      </c>
      <c r="P713" s="35"/>
      <c r="Q713" s="35">
        <f>15+15</f>
        <v>30</v>
      </c>
      <c r="R713" s="146">
        <f t="shared" si="76"/>
        <v>55.010813661294598</v>
      </c>
      <c r="S713" s="2">
        <f t="shared" si="78"/>
        <v>0.23917745070128085</v>
      </c>
    </row>
    <row r="714" spans="1:19" x14ac:dyDescent="0.25">
      <c r="A714" s="230"/>
      <c r="B714" s="230"/>
      <c r="C714" s="230"/>
      <c r="D714" s="230"/>
      <c r="E714" s="243"/>
      <c r="F714" s="221"/>
      <c r="G714" s="222"/>
      <c r="H714" s="221"/>
      <c r="I714" s="222"/>
      <c r="J714" s="230"/>
      <c r="K714" s="43"/>
      <c r="L714" s="241"/>
      <c r="M714" s="43" t="s">
        <v>1099</v>
      </c>
      <c r="N714" s="14">
        <v>160</v>
      </c>
      <c r="O714" s="35">
        <v>47.388910095084498</v>
      </c>
      <c r="P714" s="35"/>
      <c r="Q714" s="35"/>
      <c r="R714" s="146">
        <f t="shared" si="76"/>
        <v>47.388910095084498</v>
      </c>
      <c r="S714" s="2">
        <f t="shared" si="78"/>
        <v>0.32193553053725876</v>
      </c>
    </row>
    <row r="715" spans="1:19" x14ac:dyDescent="0.25">
      <c r="A715" s="230"/>
      <c r="B715" s="230"/>
      <c r="C715" s="230"/>
      <c r="D715" s="230"/>
      <c r="E715" s="243"/>
      <c r="F715" s="221"/>
      <c r="G715" s="222"/>
      <c r="H715" s="221"/>
      <c r="I715" s="222"/>
      <c r="J715" s="230"/>
      <c r="K715" s="43"/>
      <c r="L715" s="241"/>
      <c r="M715" s="43" t="s">
        <v>316</v>
      </c>
      <c r="N715" s="86">
        <f>2*400</f>
        <v>800</v>
      </c>
      <c r="O715" s="14">
        <v>77.67</v>
      </c>
      <c r="P715" s="14"/>
      <c r="Q715" s="14"/>
      <c r="R715" s="146">
        <f t="shared" si="76"/>
        <v>77.67</v>
      </c>
      <c r="S715" s="2">
        <f t="shared" si="78"/>
        <v>0.10552989130434783</v>
      </c>
    </row>
    <row r="716" spans="1:19" x14ac:dyDescent="0.25">
      <c r="A716" s="230"/>
      <c r="B716" s="230"/>
      <c r="C716" s="230"/>
      <c r="D716" s="230"/>
      <c r="E716" s="243"/>
      <c r="F716" s="221"/>
      <c r="G716" s="222"/>
      <c r="H716" s="221"/>
      <c r="I716" s="222"/>
      <c r="J716" s="230"/>
      <c r="K716" s="43"/>
      <c r="L716" s="241"/>
      <c r="M716" s="43" t="s">
        <v>1100</v>
      </c>
      <c r="N716" s="14">
        <v>250</v>
      </c>
      <c r="O716" s="14">
        <v>128.34</v>
      </c>
      <c r="P716" s="14"/>
      <c r="Q716" s="14"/>
      <c r="R716" s="146">
        <f t="shared" si="76"/>
        <v>128.34</v>
      </c>
      <c r="S716" s="2">
        <f t="shared" si="78"/>
        <v>0.55800000000000005</v>
      </c>
    </row>
    <row r="717" spans="1:19" x14ac:dyDescent="0.25">
      <c r="A717" s="230"/>
      <c r="B717" s="230"/>
      <c r="C717" s="230"/>
      <c r="D717" s="230"/>
      <c r="E717" s="243"/>
      <c r="F717" s="221"/>
      <c r="G717" s="222"/>
      <c r="H717" s="221"/>
      <c r="I717" s="222"/>
      <c r="J717" s="230"/>
      <c r="K717" s="43"/>
      <c r="L717" s="241"/>
      <c r="M717" s="43" t="s">
        <v>1101</v>
      </c>
      <c r="N717" s="14">
        <v>10</v>
      </c>
      <c r="O717" s="35">
        <v>3.2908965343808698</v>
      </c>
      <c r="P717" s="35"/>
      <c r="Q717" s="35"/>
      <c r="R717" s="146">
        <f t="shared" si="76"/>
        <v>3.2908965343808698</v>
      </c>
      <c r="S717" s="2">
        <f t="shared" si="78"/>
        <v>0.35770614504139886</v>
      </c>
    </row>
    <row r="718" spans="1:19" x14ac:dyDescent="0.25">
      <c r="A718" s="230"/>
      <c r="B718" s="230"/>
      <c r="C718" s="230"/>
      <c r="D718" s="230"/>
      <c r="E718" s="243"/>
      <c r="F718" s="221"/>
      <c r="G718" s="222"/>
      <c r="H718" s="221"/>
      <c r="I718" s="222"/>
      <c r="J718" s="230"/>
      <c r="K718" s="43"/>
      <c r="L718" s="241"/>
      <c r="M718" s="43" t="s">
        <v>168</v>
      </c>
      <c r="N718" s="14">
        <v>400</v>
      </c>
      <c r="O718" s="14">
        <v>110.57</v>
      </c>
      <c r="P718" s="14"/>
      <c r="Q718" s="14"/>
      <c r="R718" s="146">
        <f t="shared" si="76"/>
        <v>110.57</v>
      </c>
      <c r="S718" s="2">
        <f t="shared" si="78"/>
        <v>0.30046195652173913</v>
      </c>
    </row>
    <row r="719" spans="1:19" x14ac:dyDescent="0.25">
      <c r="A719" s="230"/>
      <c r="B719" s="230"/>
      <c r="C719" s="230"/>
      <c r="D719" s="230"/>
      <c r="E719" s="243"/>
      <c r="F719" s="221"/>
      <c r="G719" s="222"/>
      <c r="H719" s="221"/>
      <c r="I719" s="222"/>
      <c r="J719" s="230"/>
      <c r="K719" s="43"/>
      <c r="L719" s="241"/>
      <c r="M719" s="43" t="s">
        <v>175</v>
      </c>
      <c r="N719" s="14">
        <f>2*250</f>
        <v>500</v>
      </c>
      <c r="O719" s="14">
        <v>112.55</v>
      </c>
      <c r="P719" s="14"/>
      <c r="Q719" s="14">
        <f>15+15</f>
        <v>30</v>
      </c>
      <c r="R719" s="146">
        <f t="shared" si="76"/>
        <v>142.55000000000001</v>
      </c>
      <c r="S719" s="2">
        <f t="shared" si="78"/>
        <v>0.30989130434782614</v>
      </c>
    </row>
    <row r="720" spans="1:19" x14ac:dyDescent="0.25">
      <c r="A720" s="230"/>
      <c r="B720" s="230"/>
      <c r="C720" s="230"/>
      <c r="D720" s="230"/>
      <c r="E720" s="243"/>
      <c r="F720" s="221"/>
      <c r="G720" s="222"/>
      <c r="H720" s="221"/>
      <c r="I720" s="222"/>
      <c r="J720" s="230"/>
      <c r="K720" s="43"/>
      <c r="L720" s="241"/>
      <c r="M720" s="43" t="s">
        <v>1102</v>
      </c>
      <c r="N720" s="14">
        <v>250</v>
      </c>
      <c r="O720" s="14">
        <v>59.89</v>
      </c>
      <c r="P720" s="14"/>
      <c r="Q720" s="14"/>
      <c r="R720" s="146">
        <f t="shared" si="76"/>
        <v>59.89</v>
      </c>
      <c r="S720" s="2">
        <f t="shared" si="78"/>
        <v>0.26039130434782609</v>
      </c>
    </row>
    <row r="721" spans="1:19" x14ac:dyDescent="0.25">
      <c r="A721" s="230"/>
      <c r="B721" s="230"/>
      <c r="C721" s="230"/>
      <c r="D721" s="230"/>
      <c r="E721" s="243"/>
      <c r="F721" s="221"/>
      <c r="G721" s="222"/>
      <c r="H721" s="221"/>
      <c r="I721" s="222"/>
      <c r="J721" s="230"/>
      <c r="K721" s="43"/>
      <c r="L721" s="241"/>
      <c r="M721" s="43" t="s">
        <v>184</v>
      </c>
      <c r="N721" s="14">
        <f>2*250</f>
        <v>500</v>
      </c>
      <c r="O721" s="9" t="s">
        <v>1103</v>
      </c>
      <c r="P721" s="9"/>
      <c r="Q721" s="9"/>
      <c r="R721" s="146">
        <f t="shared" si="76"/>
        <v>19.75</v>
      </c>
      <c r="S721" s="2">
        <f t="shared" si="78"/>
        <v>4.2934782608695654E-2</v>
      </c>
    </row>
    <row r="722" spans="1:19" x14ac:dyDescent="0.25">
      <c r="A722" s="230"/>
      <c r="B722" s="230"/>
      <c r="C722" s="230"/>
      <c r="D722" s="230"/>
      <c r="E722" s="243"/>
      <c r="F722" s="221"/>
      <c r="G722" s="222"/>
      <c r="H722" s="221"/>
      <c r="I722" s="222"/>
      <c r="J722" s="230"/>
      <c r="K722" s="43"/>
      <c r="L722" s="241"/>
      <c r="M722" s="43" t="s">
        <v>185</v>
      </c>
      <c r="N722" s="14">
        <f>2*160</f>
        <v>320</v>
      </c>
      <c r="O722" s="14">
        <v>59.24</v>
      </c>
      <c r="P722" s="14"/>
      <c r="Q722" s="14">
        <f>15</f>
        <v>15</v>
      </c>
      <c r="R722" s="146">
        <f t="shared" si="76"/>
        <v>74.240000000000009</v>
      </c>
      <c r="S722" s="2">
        <f t="shared" si="78"/>
        <v>0.25217391304347825</v>
      </c>
    </row>
    <row r="723" spans="1:19" x14ac:dyDescent="0.25">
      <c r="A723" s="230"/>
      <c r="B723" s="230"/>
      <c r="C723" s="230"/>
      <c r="D723" s="230"/>
      <c r="E723" s="243"/>
      <c r="F723" s="221"/>
      <c r="G723" s="222"/>
      <c r="H723" s="221"/>
      <c r="I723" s="222"/>
      <c r="J723" s="230"/>
      <c r="K723" s="43"/>
      <c r="L723" s="241"/>
      <c r="M723" s="43" t="s">
        <v>187</v>
      </c>
      <c r="N723" s="14">
        <f>2*100</f>
        <v>200</v>
      </c>
      <c r="O723" s="14">
        <v>42.78</v>
      </c>
      <c r="P723" s="14"/>
      <c r="Q723" s="14"/>
      <c r="R723" s="146">
        <f t="shared" si="76"/>
        <v>42.78</v>
      </c>
      <c r="S723" s="2">
        <f t="shared" si="78"/>
        <v>0.23250000000000001</v>
      </c>
    </row>
    <row r="724" spans="1:19" x14ac:dyDescent="0.25">
      <c r="A724" s="230"/>
      <c r="B724" s="230"/>
      <c r="C724" s="230"/>
      <c r="D724" s="230"/>
      <c r="E724" s="243"/>
      <c r="F724" s="221"/>
      <c r="G724" s="222"/>
      <c r="H724" s="221"/>
      <c r="I724" s="222"/>
      <c r="J724" s="230"/>
      <c r="K724" s="43"/>
      <c r="L724" s="241"/>
      <c r="M724" s="43" t="s">
        <v>363</v>
      </c>
      <c r="N724" s="14">
        <f>2*160</f>
        <v>320</v>
      </c>
      <c r="O724" s="14">
        <v>39.49</v>
      </c>
      <c r="P724" s="14"/>
      <c r="Q724" s="14">
        <f>10</f>
        <v>10</v>
      </c>
      <c r="R724" s="146">
        <f t="shared" si="76"/>
        <v>49.49</v>
      </c>
      <c r="S724" s="2">
        <f t="shared" si="78"/>
        <v>0.16810461956521738</v>
      </c>
    </row>
    <row r="725" spans="1:19" x14ac:dyDescent="0.25">
      <c r="A725" s="230"/>
      <c r="B725" s="230"/>
      <c r="C725" s="230"/>
      <c r="D725" s="230"/>
      <c r="E725" s="243"/>
      <c r="F725" s="221"/>
      <c r="G725" s="222"/>
      <c r="H725" s="221"/>
      <c r="I725" s="222"/>
      <c r="J725" s="230"/>
      <c r="K725" s="43"/>
      <c r="L725" s="241"/>
      <c r="M725" s="43" t="s">
        <v>189</v>
      </c>
      <c r="N725" s="14">
        <v>250</v>
      </c>
      <c r="O725" s="14">
        <v>85.56</v>
      </c>
      <c r="P725" s="14"/>
      <c r="Q725" s="14">
        <f>15</f>
        <v>15</v>
      </c>
      <c r="R725" s="146">
        <f t="shared" si="76"/>
        <v>100.56</v>
      </c>
      <c r="S725" s="2">
        <f t="shared" si="78"/>
        <v>0.43721739130434784</v>
      </c>
    </row>
    <row r="726" spans="1:19" x14ac:dyDescent="0.25">
      <c r="A726" s="230"/>
      <c r="B726" s="230"/>
      <c r="C726" s="230"/>
      <c r="D726" s="230"/>
      <c r="E726" s="243"/>
      <c r="F726" s="221"/>
      <c r="G726" s="222"/>
      <c r="H726" s="221"/>
      <c r="I726" s="222"/>
      <c r="J726" s="230"/>
      <c r="K726" s="43"/>
      <c r="L726" s="241"/>
      <c r="M726" s="43" t="s">
        <v>190</v>
      </c>
      <c r="N726" s="14">
        <v>40</v>
      </c>
      <c r="O726" s="35">
        <v>27.643530888799301</v>
      </c>
      <c r="P726" s="35"/>
      <c r="Q726" s="35"/>
      <c r="R726" s="146">
        <f t="shared" si="76"/>
        <v>27.643530888799301</v>
      </c>
      <c r="S726" s="2">
        <f t="shared" si="78"/>
        <v>0.75118290458693748</v>
      </c>
    </row>
    <row r="727" spans="1:19" x14ac:dyDescent="0.25">
      <c r="A727" s="230"/>
      <c r="B727" s="230"/>
      <c r="C727" s="230"/>
      <c r="D727" s="230"/>
      <c r="E727" s="243"/>
      <c r="F727" s="221"/>
      <c r="G727" s="222"/>
      <c r="H727" s="221"/>
      <c r="I727" s="222"/>
      <c r="J727" s="230"/>
      <c r="K727" s="43"/>
      <c r="L727" s="241"/>
      <c r="M727" s="43" t="s">
        <v>1104</v>
      </c>
      <c r="N727" s="14">
        <v>160</v>
      </c>
      <c r="O727" s="14">
        <v>7.24</v>
      </c>
      <c r="P727" s="14"/>
      <c r="Q727" s="14"/>
      <c r="R727" s="146">
        <f t="shared" si="76"/>
        <v>7.24</v>
      </c>
      <c r="S727" s="2">
        <f t="shared" si="78"/>
        <v>4.9184782608695646E-2</v>
      </c>
    </row>
    <row r="728" spans="1:19" x14ac:dyDescent="0.25">
      <c r="A728" s="230"/>
      <c r="B728" s="230"/>
      <c r="C728" s="230"/>
      <c r="D728" s="230"/>
      <c r="E728" s="243"/>
      <c r="F728" s="221"/>
      <c r="G728" s="222"/>
      <c r="H728" s="221"/>
      <c r="I728" s="222"/>
      <c r="J728" s="230"/>
      <c r="K728" s="43"/>
      <c r="L728" s="241"/>
      <c r="M728" s="43" t="s">
        <v>1105</v>
      </c>
      <c r="N728" s="14">
        <v>160</v>
      </c>
      <c r="O728" s="14">
        <v>13.82</v>
      </c>
      <c r="P728" s="14"/>
      <c r="Q728" s="14">
        <f>10</f>
        <v>10</v>
      </c>
      <c r="R728" s="146">
        <f t="shared" si="76"/>
        <v>23.82</v>
      </c>
      <c r="S728" s="2">
        <f t="shared" si="78"/>
        <v>0.16182065217391303</v>
      </c>
    </row>
    <row r="729" spans="1:19" x14ac:dyDescent="0.25">
      <c r="A729" s="231"/>
      <c r="B729" s="231"/>
      <c r="C729" s="231"/>
      <c r="D729" s="231"/>
      <c r="E729" s="239"/>
      <c r="F729" s="223"/>
      <c r="G729" s="224"/>
      <c r="H729" s="223"/>
      <c r="I729" s="224"/>
      <c r="J729" s="231"/>
      <c r="K729" s="43"/>
      <c r="L729" s="242"/>
      <c r="M729" s="43" t="s">
        <v>1106</v>
      </c>
      <c r="N729" s="14">
        <v>250</v>
      </c>
      <c r="O729" s="14">
        <v>109.92</v>
      </c>
      <c r="P729" s="14"/>
      <c r="Q729" s="14">
        <f>8+8</f>
        <v>16</v>
      </c>
      <c r="R729" s="146">
        <f t="shared" si="76"/>
        <v>125.92</v>
      </c>
      <c r="S729" s="2">
        <f t="shared" si="78"/>
        <v>0.54747826086956519</v>
      </c>
    </row>
    <row r="730" spans="1:19" ht="15.75" hidden="1" customHeight="1" x14ac:dyDescent="0.25">
      <c r="A730" s="43"/>
      <c r="B730" s="225" t="s">
        <v>286</v>
      </c>
      <c r="C730" s="226"/>
      <c r="D730" s="226"/>
      <c r="E730" s="226"/>
      <c r="F730" s="226"/>
      <c r="G730" s="226"/>
      <c r="H730" s="226"/>
      <c r="I730" s="227"/>
      <c r="J730" s="153"/>
      <c r="K730" s="153"/>
      <c r="L730" s="153">
        <f>SUM(L686:L729)</f>
        <v>16.418896724510745</v>
      </c>
      <c r="M730" s="153"/>
      <c r="N730" s="154"/>
      <c r="O730" s="154"/>
      <c r="P730" s="154"/>
      <c r="Q730" s="154"/>
      <c r="R730" s="156">
        <f t="shared" si="76"/>
        <v>0</v>
      </c>
      <c r="S730" s="154"/>
    </row>
    <row r="731" spans="1:19" ht="15.75" customHeight="1" x14ac:dyDescent="0.25">
      <c r="A731" s="229">
        <v>19</v>
      </c>
      <c r="B731" s="229" t="s">
        <v>60</v>
      </c>
      <c r="C731" s="229" t="s">
        <v>66</v>
      </c>
      <c r="D731" s="229" t="s">
        <v>3</v>
      </c>
      <c r="E731" s="229"/>
      <c r="F731" s="219" t="s">
        <v>87</v>
      </c>
      <c r="G731" s="220"/>
      <c r="H731" s="219" t="s">
        <v>709</v>
      </c>
      <c r="I731" s="220"/>
      <c r="J731" s="229"/>
      <c r="K731" s="43"/>
      <c r="L731" s="229">
        <f>SUM(S731:S737)</f>
        <v>1.302834023464458</v>
      </c>
      <c r="M731" s="43" t="s">
        <v>391</v>
      </c>
      <c r="N731" s="1">
        <f>2*630</f>
        <v>1260</v>
      </c>
      <c r="O731" s="14">
        <v>184.07</v>
      </c>
      <c r="P731" s="14"/>
      <c r="Q731" s="14"/>
      <c r="R731" s="146">
        <f t="shared" si="76"/>
        <v>184.07</v>
      </c>
      <c r="S731" s="2">
        <f t="shared" ref="S731:S747" si="79">R731/(N731*0.92)</f>
        <v>0.15879054520358868</v>
      </c>
    </row>
    <row r="732" spans="1:19" x14ac:dyDescent="0.25">
      <c r="A732" s="230"/>
      <c r="B732" s="230"/>
      <c r="C732" s="230"/>
      <c r="D732" s="230"/>
      <c r="E732" s="230"/>
      <c r="F732" s="221"/>
      <c r="G732" s="222"/>
      <c r="H732" s="221"/>
      <c r="I732" s="222"/>
      <c r="J732" s="230"/>
      <c r="K732" s="43"/>
      <c r="L732" s="230"/>
      <c r="M732" s="43" t="s">
        <v>248</v>
      </c>
      <c r="N732" s="86">
        <f>2*400</f>
        <v>800</v>
      </c>
      <c r="O732" s="14">
        <v>89.96</v>
      </c>
      <c r="P732" s="14"/>
      <c r="Q732" s="14"/>
      <c r="R732" s="146">
        <f t="shared" si="76"/>
        <v>89.96</v>
      </c>
      <c r="S732" s="2">
        <f t="shared" si="79"/>
        <v>0.1222282608695652</v>
      </c>
    </row>
    <row r="733" spans="1:19" x14ac:dyDescent="0.25">
      <c r="A733" s="230"/>
      <c r="B733" s="230"/>
      <c r="C733" s="230"/>
      <c r="D733" s="230"/>
      <c r="E733" s="230"/>
      <c r="F733" s="221"/>
      <c r="G733" s="222"/>
      <c r="H733" s="221"/>
      <c r="I733" s="222"/>
      <c r="J733" s="230"/>
      <c r="K733" s="43"/>
      <c r="L733" s="230"/>
      <c r="M733" s="43" t="s">
        <v>414</v>
      </c>
      <c r="N733" s="14">
        <v>400</v>
      </c>
      <c r="O733" s="14">
        <v>20.76</v>
      </c>
      <c r="P733" s="14"/>
      <c r="Q733" s="14"/>
      <c r="R733" s="146">
        <f t="shared" si="76"/>
        <v>20.76</v>
      </c>
      <c r="S733" s="2">
        <f t="shared" si="79"/>
        <v>5.6413043478260871E-2</v>
      </c>
    </row>
    <row r="734" spans="1:19" x14ac:dyDescent="0.25">
      <c r="A734" s="230"/>
      <c r="B734" s="230"/>
      <c r="C734" s="230"/>
      <c r="D734" s="230"/>
      <c r="E734" s="230"/>
      <c r="F734" s="221"/>
      <c r="G734" s="222"/>
      <c r="H734" s="221"/>
      <c r="I734" s="222"/>
      <c r="J734" s="230"/>
      <c r="K734" s="43"/>
      <c r="L734" s="230"/>
      <c r="M734" s="43" t="s">
        <v>393</v>
      </c>
      <c r="N734" s="86">
        <f>2*400</f>
        <v>800</v>
      </c>
      <c r="O734" s="14">
        <v>262.95999999999998</v>
      </c>
      <c r="P734" s="14"/>
      <c r="Q734" s="14"/>
      <c r="R734" s="146">
        <f t="shared" si="76"/>
        <v>262.95999999999998</v>
      </c>
      <c r="S734" s="2">
        <f t="shared" si="79"/>
        <v>0.35728260869565215</v>
      </c>
    </row>
    <row r="735" spans="1:19" x14ac:dyDescent="0.25">
      <c r="A735" s="230"/>
      <c r="B735" s="230"/>
      <c r="C735" s="230"/>
      <c r="D735" s="230"/>
      <c r="E735" s="230"/>
      <c r="F735" s="221"/>
      <c r="G735" s="222"/>
      <c r="H735" s="221"/>
      <c r="I735" s="222"/>
      <c r="J735" s="230"/>
      <c r="K735" s="43"/>
      <c r="L735" s="230"/>
      <c r="M735" s="43" t="s">
        <v>415</v>
      </c>
      <c r="N735" s="14">
        <v>250</v>
      </c>
      <c r="O735" s="14">
        <v>53.98</v>
      </c>
      <c r="P735" s="14"/>
      <c r="Q735" s="14">
        <f>15</f>
        <v>15</v>
      </c>
      <c r="R735" s="146">
        <f t="shared" si="76"/>
        <v>68.97999999999999</v>
      </c>
      <c r="S735" s="2">
        <f t="shared" si="79"/>
        <v>0.29991304347826081</v>
      </c>
    </row>
    <row r="736" spans="1:19" x14ac:dyDescent="0.25">
      <c r="A736" s="230"/>
      <c r="B736" s="230"/>
      <c r="C736" s="230"/>
      <c r="D736" s="230"/>
      <c r="E736" s="230"/>
      <c r="F736" s="221"/>
      <c r="G736" s="222"/>
      <c r="H736" s="221"/>
      <c r="I736" s="222"/>
      <c r="J736" s="230"/>
      <c r="K736" s="43"/>
      <c r="L736" s="230"/>
      <c r="M736" s="43" t="s">
        <v>251</v>
      </c>
      <c r="N736" s="14">
        <v>400</v>
      </c>
      <c r="O736" s="14">
        <v>6.92</v>
      </c>
      <c r="P736" s="14"/>
      <c r="Q736" s="14"/>
      <c r="R736" s="146">
        <f t="shared" ref="R736:R799" si="80">O736+P736+Q736</f>
        <v>6.92</v>
      </c>
      <c r="S736" s="2">
        <f t="shared" si="79"/>
        <v>1.8804347826086955E-2</v>
      </c>
    </row>
    <row r="737" spans="1:19" x14ac:dyDescent="0.25">
      <c r="A737" s="231"/>
      <c r="B737" s="230"/>
      <c r="C737" s="230"/>
      <c r="D737" s="230"/>
      <c r="E737" s="230"/>
      <c r="F737" s="223"/>
      <c r="G737" s="224"/>
      <c r="H737" s="221"/>
      <c r="I737" s="222"/>
      <c r="J737" s="230"/>
      <c r="K737" s="43"/>
      <c r="L737" s="231"/>
      <c r="M737" s="43" t="s">
        <v>252</v>
      </c>
      <c r="N737" s="14">
        <v>160</v>
      </c>
      <c r="O737" s="14">
        <v>34.6</v>
      </c>
      <c r="P737" s="14"/>
      <c r="Q737" s="14">
        <v>8</v>
      </c>
      <c r="R737" s="146">
        <f t="shared" si="80"/>
        <v>42.6</v>
      </c>
      <c r="S737" s="2">
        <f t="shared" si="79"/>
        <v>0.28940217391304346</v>
      </c>
    </row>
    <row r="738" spans="1:19" x14ac:dyDescent="0.25">
      <c r="A738" s="229">
        <v>20</v>
      </c>
      <c r="B738" s="230"/>
      <c r="C738" s="230"/>
      <c r="D738" s="230"/>
      <c r="E738" s="230"/>
      <c r="F738" s="219" t="s">
        <v>88</v>
      </c>
      <c r="G738" s="220"/>
      <c r="H738" s="221"/>
      <c r="I738" s="222"/>
      <c r="J738" s="230"/>
      <c r="K738" s="43"/>
      <c r="L738" s="229">
        <f>SUM(S738:S747)</f>
        <v>2.922529675638371</v>
      </c>
      <c r="M738" s="43" t="s">
        <v>392</v>
      </c>
      <c r="N738" s="1">
        <f>2*630</f>
        <v>1260</v>
      </c>
      <c r="O738" s="14">
        <v>184.07</v>
      </c>
      <c r="P738" s="14"/>
      <c r="Q738" s="14"/>
      <c r="R738" s="146">
        <f t="shared" si="80"/>
        <v>184.07</v>
      </c>
      <c r="S738" s="2">
        <f t="shared" si="79"/>
        <v>0.15879054520358868</v>
      </c>
    </row>
    <row r="739" spans="1:19" x14ac:dyDescent="0.25">
      <c r="A739" s="230"/>
      <c r="B739" s="230"/>
      <c r="C739" s="230"/>
      <c r="D739" s="230"/>
      <c r="E739" s="230"/>
      <c r="F739" s="221"/>
      <c r="G739" s="222"/>
      <c r="H739" s="221"/>
      <c r="I739" s="222"/>
      <c r="J739" s="230"/>
      <c r="K739" s="43"/>
      <c r="L739" s="230"/>
      <c r="M739" s="43" t="s">
        <v>246</v>
      </c>
      <c r="N739" s="14">
        <v>400</v>
      </c>
      <c r="O739" s="14">
        <v>151.55000000000001</v>
      </c>
      <c r="P739" s="14"/>
      <c r="Q739" s="14"/>
      <c r="R739" s="146">
        <f t="shared" si="80"/>
        <v>151.55000000000001</v>
      </c>
      <c r="S739" s="2">
        <f t="shared" si="79"/>
        <v>0.41182065217391306</v>
      </c>
    </row>
    <row r="740" spans="1:19" x14ac:dyDescent="0.25">
      <c r="A740" s="230"/>
      <c r="B740" s="230"/>
      <c r="C740" s="230"/>
      <c r="D740" s="230"/>
      <c r="E740" s="230"/>
      <c r="F740" s="221"/>
      <c r="G740" s="222"/>
      <c r="H740" s="221"/>
      <c r="I740" s="222"/>
      <c r="J740" s="230"/>
      <c r="K740" s="43"/>
      <c r="L740" s="230"/>
      <c r="M740" s="43" t="s">
        <v>247</v>
      </c>
      <c r="N740" s="14">
        <v>400</v>
      </c>
      <c r="O740" s="14">
        <v>269.19</v>
      </c>
      <c r="P740" s="14"/>
      <c r="Q740" s="14"/>
      <c r="R740" s="146">
        <f t="shared" si="80"/>
        <v>269.19</v>
      </c>
      <c r="S740" s="2">
        <f t="shared" si="79"/>
        <v>0.73149456521739131</v>
      </c>
    </row>
    <row r="741" spans="1:19" x14ac:dyDescent="0.25">
      <c r="A741" s="230"/>
      <c r="B741" s="230"/>
      <c r="C741" s="230"/>
      <c r="D741" s="230"/>
      <c r="E741" s="230"/>
      <c r="F741" s="221"/>
      <c r="G741" s="222"/>
      <c r="H741" s="221"/>
      <c r="I741" s="222"/>
      <c r="J741" s="230"/>
      <c r="K741" s="43"/>
      <c r="L741" s="230"/>
      <c r="M741" s="43" t="s">
        <v>414</v>
      </c>
      <c r="N741" s="14">
        <v>400</v>
      </c>
      <c r="O741" s="14">
        <v>20.76</v>
      </c>
      <c r="P741" s="14"/>
      <c r="Q741" s="14"/>
      <c r="R741" s="146">
        <f t="shared" si="80"/>
        <v>20.76</v>
      </c>
      <c r="S741" s="2">
        <f t="shared" si="79"/>
        <v>5.6413043478260871E-2</v>
      </c>
    </row>
    <row r="742" spans="1:19" x14ac:dyDescent="0.25">
      <c r="A742" s="230"/>
      <c r="B742" s="230"/>
      <c r="C742" s="230"/>
      <c r="D742" s="230"/>
      <c r="E742" s="230"/>
      <c r="F742" s="221"/>
      <c r="G742" s="222"/>
      <c r="H742" s="221"/>
      <c r="I742" s="222"/>
      <c r="J742" s="230"/>
      <c r="K742" s="43"/>
      <c r="L742" s="230"/>
      <c r="M742" s="43" t="s">
        <v>394</v>
      </c>
      <c r="N742" s="86">
        <f>2*400</f>
        <v>800</v>
      </c>
      <c r="O742" s="14">
        <v>262.95999999999998</v>
      </c>
      <c r="P742" s="14"/>
      <c r="Q742" s="14">
        <f>6+11+15</f>
        <v>32</v>
      </c>
      <c r="R742" s="146">
        <f t="shared" si="80"/>
        <v>294.95999999999998</v>
      </c>
      <c r="S742" s="2">
        <f t="shared" si="79"/>
        <v>0.40076086956521734</v>
      </c>
    </row>
    <row r="743" spans="1:19" x14ac:dyDescent="0.25">
      <c r="A743" s="230"/>
      <c r="B743" s="230"/>
      <c r="C743" s="230"/>
      <c r="D743" s="230"/>
      <c r="E743" s="230"/>
      <c r="F743" s="221"/>
      <c r="G743" s="222"/>
      <c r="H743" s="221"/>
      <c r="I743" s="222"/>
      <c r="J743" s="230"/>
      <c r="K743" s="43"/>
      <c r="L743" s="230"/>
      <c r="M743" s="43" t="s">
        <v>415</v>
      </c>
      <c r="N743" s="14">
        <v>250</v>
      </c>
      <c r="O743" s="14">
        <v>53.98</v>
      </c>
      <c r="P743" s="14"/>
      <c r="Q743" s="14"/>
      <c r="R743" s="146">
        <f t="shared" si="80"/>
        <v>53.98</v>
      </c>
      <c r="S743" s="2">
        <f t="shared" si="79"/>
        <v>0.23469565217391303</v>
      </c>
    </row>
    <row r="744" spans="1:19" x14ac:dyDescent="0.25">
      <c r="A744" s="230"/>
      <c r="B744" s="230"/>
      <c r="C744" s="230"/>
      <c r="D744" s="230"/>
      <c r="E744" s="230"/>
      <c r="F744" s="221"/>
      <c r="G744" s="222"/>
      <c r="H744" s="221"/>
      <c r="I744" s="222"/>
      <c r="J744" s="230"/>
      <c r="K744" s="43"/>
      <c r="L744" s="230"/>
      <c r="M744" s="43" t="s">
        <v>249</v>
      </c>
      <c r="N744" s="14">
        <v>400</v>
      </c>
      <c r="O744" s="14">
        <v>101.03</v>
      </c>
      <c r="P744" s="14"/>
      <c r="Q744" s="14"/>
      <c r="R744" s="146">
        <f t="shared" si="80"/>
        <v>101.03</v>
      </c>
      <c r="S744" s="2">
        <f t="shared" si="79"/>
        <v>0.27453804347826088</v>
      </c>
    </row>
    <row r="745" spans="1:19" x14ac:dyDescent="0.25">
      <c r="A745" s="230"/>
      <c r="B745" s="230"/>
      <c r="C745" s="230"/>
      <c r="D745" s="230"/>
      <c r="E745" s="230"/>
      <c r="F745" s="221"/>
      <c r="G745" s="222"/>
      <c r="H745" s="221"/>
      <c r="I745" s="222"/>
      <c r="J745" s="230"/>
      <c r="K745" s="43"/>
      <c r="L745" s="230"/>
      <c r="M745" s="43" t="s">
        <v>250</v>
      </c>
      <c r="N745" s="14">
        <v>250</v>
      </c>
      <c r="O745" s="14">
        <v>41.52</v>
      </c>
      <c r="P745" s="14"/>
      <c r="Q745" s="14"/>
      <c r="R745" s="146">
        <f t="shared" si="80"/>
        <v>41.52</v>
      </c>
      <c r="S745" s="2">
        <f t="shared" si="79"/>
        <v>0.18052173913043479</v>
      </c>
    </row>
    <row r="746" spans="1:19" x14ac:dyDescent="0.25">
      <c r="A746" s="230"/>
      <c r="B746" s="230"/>
      <c r="C746" s="230"/>
      <c r="D746" s="230"/>
      <c r="E746" s="230"/>
      <c r="F746" s="221"/>
      <c r="G746" s="222"/>
      <c r="H746" s="221"/>
      <c r="I746" s="222"/>
      <c r="J746" s="230"/>
      <c r="K746" s="43"/>
      <c r="L746" s="230"/>
      <c r="M746" s="43" t="s">
        <v>1107</v>
      </c>
      <c r="N746" s="14">
        <v>400</v>
      </c>
      <c r="O746" s="14">
        <v>101.03</v>
      </c>
      <c r="P746" s="14"/>
      <c r="Q746" s="14"/>
      <c r="R746" s="146">
        <f t="shared" si="80"/>
        <v>101.03</v>
      </c>
      <c r="S746" s="2">
        <f t="shared" si="79"/>
        <v>0.27453804347826088</v>
      </c>
    </row>
    <row r="747" spans="1:19" x14ac:dyDescent="0.25">
      <c r="A747" s="231"/>
      <c r="B747" s="231"/>
      <c r="C747" s="231"/>
      <c r="D747" s="231"/>
      <c r="E747" s="231"/>
      <c r="F747" s="223"/>
      <c r="G747" s="224"/>
      <c r="H747" s="223"/>
      <c r="I747" s="224"/>
      <c r="J747" s="231"/>
      <c r="K747" s="43"/>
      <c r="L747" s="231"/>
      <c r="M747" s="43" t="s">
        <v>1108</v>
      </c>
      <c r="N747" s="14">
        <f>2*250</f>
        <v>500</v>
      </c>
      <c r="O747" s="14">
        <v>41.52</v>
      </c>
      <c r="P747" s="14"/>
      <c r="Q747" s="14">
        <f>50</f>
        <v>50</v>
      </c>
      <c r="R747" s="146">
        <f t="shared" si="80"/>
        <v>91.52000000000001</v>
      </c>
      <c r="S747" s="2">
        <f t="shared" si="79"/>
        <v>0.19895652173913045</v>
      </c>
    </row>
    <row r="748" spans="1:19" ht="15.75" hidden="1" customHeight="1" x14ac:dyDescent="0.25">
      <c r="A748" s="43"/>
      <c r="B748" s="225" t="s">
        <v>67</v>
      </c>
      <c r="C748" s="226"/>
      <c r="D748" s="226"/>
      <c r="E748" s="226"/>
      <c r="F748" s="226"/>
      <c r="G748" s="226"/>
      <c r="H748" s="226"/>
      <c r="I748" s="227"/>
      <c r="J748" s="153"/>
      <c r="K748" s="153"/>
      <c r="L748" s="153">
        <f>L731+L738</f>
        <v>4.2253636991028287</v>
      </c>
      <c r="M748" s="153"/>
      <c r="N748" s="154"/>
      <c r="O748" s="154"/>
      <c r="P748" s="154"/>
      <c r="Q748" s="154"/>
      <c r="R748" s="156">
        <f t="shared" si="80"/>
        <v>0</v>
      </c>
      <c r="S748" s="154"/>
    </row>
    <row r="749" spans="1:19" ht="15.75" customHeight="1" x14ac:dyDescent="0.25">
      <c r="A749" s="229">
        <v>21</v>
      </c>
      <c r="B749" s="229" t="s">
        <v>60</v>
      </c>
      <c r="C749" s="229" t="s">
        <v>68</v>
      </c>
      <c r="D749" s="229" t="s">
        <v>3</v>
      </c>
      <c r="E749" s="229"/>
      <c r="F749" s="219" t="s">
        <v>89</v>
      </c>
      <c r="G749" s="220"/>
      <c r="H749" s="219" t="s">
        <v>709</v>
      </c>
      <c r="I749" s="220"/>
      <c r="J749" s="229"/>
      <c r="K749" s="43"/>
      <c r="L749" s="240">
        <f>SUM(S749:S758)</f>
        <v>1.3257400247113671</v>
      </c>
      <c r="M749" s="43" t="s">
        <v>235</v>
      </c>
      <c r="N749" s="14">
        <f>160+250</f>
        <v>410</v>
      </c>
      <c r="O749" s="35">
        <v>88.854206428283405</v>
      </c>
      <c r="P749" s="35"/>
      <c r="Q749" s="35"/>
      <c r="R749" s="146">
        <f t="shared" si="80"/>
        <v>88.854206428283405</v>
      </c>
      <c r="S749" s="2">
        <f t="shared" ref="S749:S776" si="81">R749/(N749*0.92)</f>
        <v>0.2355625833199454</v>
      </c>
    </row>
    <row r="750" spans="1:19" x14ac:dyDescent="0.25">
      <c r="A750" s="230"/>
      <c r="B750" s="230"/>
      <c r="C750" s="230"/>
      <c r="D750" s="230"/>
      <c r="E750" s="230"/>
      <c r="F750" s="221"/>
      <c r="G750" s="222"/>
      <c r="H750" s="221"/>
      <c r="I750" s="222"/>
      <c r="J750" s="230"/>
      <c r="K750" s="43"/>
      <c r="L750" s="241"/>
      <c r="M750" s="43" t="s">
        <v>236</v>
      </c>
      <c r="N750" s="86">
        <f t="shared" ref="N750:N751" si="82">2*400</f>
        <v>800</v>
      </c>
      <c r="O750" s="35">
        <v>54.628882470722402</v>
      </c>
      <c r="P750" s="35"/>
      <c r="Q750" s="35"/>
      <c r="R750" s="146">
        <f t="shared" si="80"/>
        <v>54.628882470722402</v>
      </c>
      <c r="S750" s="2">
        <f t="shared" si="81"/>
        <v>7.4224025096090218E-2</v>
      </c>
    </row>
    <row r="751" spans="1:19" x14ac:dyDescent="0.25">
      <c r="A751" s="230"/>
      <c r="B751" s="230"/>
      <c r="C751" s="230"/>
      <c r="D751" s="230"/>
      <c r="E751" s="230"/>
      <c r="F751" s="221"/>
      <c r="G751" s="222"/>
      <c r="H751" s="221"/>
      <c r="I751" s="222"/>
      <c r="J751" s="230"/>
      <c r="K751" s="43"/>
      <c r="L751" s="241"/>
      <c r="M751" s="43" t="s">
        <v>237</v>
      </c>
      <c r="N751" s="86">
        <f t="shared" si="82"/>
        <v>800</v>
      </c>
      <c r="O751" s="35">
        <v>123.737709692721</v>
      </c>
      <c r="P751" s="35"/>
      <c r="Q751" s="35"/>
      <c r="R751" s="146">
        <f t="shared" si="80"/>
        <v>123.737709692721</v>
      </c>
      <c r="S751" s="2">
        <f t="shared" si="81"/>
        <v>0.16812188816945789</v>
      </c>
    </row>
    <row r="752" spans="1:19" x14ac:dyDescent="0.25">
      <c r="A752" s="230"/>
      <c r="B752" s="230"/>
      <c r="C752" s="230"/>
      <c r="D752" s="230"/>
      <c r="E752" s="230"/>
      <c r="F752" s="221"/>
      <c r="G752" s="222"/>
      <c r="H752" s="221"/>
      <c r="I752" s="222"/>
      <c r="J752" s="230"/>
      <c r="K752" s="43"/>
      <c r="L752" s="241"/>
      <c r="M752" s="43" t="s">
        <v>238</v>
      </c>
      <c r="N752" s="14">
        <v>100</v>
      </c>
      <c r="O752" s="35">
        <v>9.8726896031426001</v>
      </c>
      <c r="P752" s="35"/>
      <c r="Q752" s="35"/>
      <c r="R752" s="146">
        <f t="shared" si="80"/>
        <v>9.8726896031426001</v>
      </c>
      <c r="S752" s="2">
        <f t="shared" si="81"/>
        <v>0.10731184351241957</v>
      </c>
    </row>
    <row r="753" spans="1:19" x14ac:dyDescent="0.25">
      <c r="A753" s="230"/>
      <c r="B753" s="230"/>
      <c r="C753" s="230"/>
      <c r="D753" s="230"/>
      <c r="E753" s="230"/>
      <c r="F753" s="221"/>
      <c r="G753" s="222"/>
      <c r="H753" s="221"/>
      <c r="I753" s="222"/>
      <c r="J753" s="230"/>
      <c r="K753" s="43"/>
      <c r="L753" s="241"/>
      <c r="M753" s="43" t="s">
        <v>239</v>
      </c>
      <c r="N753" s="14">
        <f>2*250</f>
        <v>500</v>
      </c>
      <c r="O753" s="35">
        <v>25.668992968170802</v>
      </c>
      <c r="P753" s="35"/>
      <c r="Q753" s="35"/>
      <c r="R753" s="146">
        <f t="shared" si="80"/>
        <v>25.668992968170802</v>
      </c>
      <c r="S753" s="2">
        <f t="shared" si="81"/>
        <v>5.5802158626458265E-2</v>
      </c>
    </row>
    <row r="754" spans="1:19" x14ac:dyDescent="0.25">
      <c r="A754" s="230"/>
      <c r="B754" s="230"/>
      <c r="C754" s="230"/>
      <c r="D754" s="230"/>
      <c r="E754" s="230"/>
      <c r="F754" s="221"/>
      <c r="G754" s="222"/>
      <c r="H754" s="221"/>
      <c r="I754" s="222"/>
      <c r="J754" s="230"/>
      <c r="K754" s="43"/>
      <c r="L754" s="241"/>
      <c r="M754" s="43" t="s">
        <v>240</v>
      </c>
      <c r="N754" s="14">
        <v>400</v>
      </c>
      <c r="O754" s="35">
        <v>102.67597187268299</v>
      </c>
      <c r="P754" s="35"/>
      <c r="Q754" s="35"/>
      <c r="R754" s="146">
        <f t="shared" si="80"/>
        <v>102.67597187268299</v>
      </c>
      <c r="S754" s="2">
        <f t="shared" si="81"/>
        <v>0.27901079313229077</v>
      </c>
    </row>
    <row r="755" spans="1:19" x14ac:dyDescent="0.25">
      <c r="A755" s="230"/>
      <c r="B755" s="230"/>
      <c r="C755" s="230"/>
      <c r="D755" s="230"/>
      <c r="E755" s="230"/>
      <c r="F755" s="221"/>
      <c r="G755" s="222"/>
      <c r="H755" s="221"/>
      <c r="I755" s="222"/>
      <c r="J755" s="230"/>
      <c r="K755" s="43"/>
      <c r="L755" s="241"/>
      <c r="M755" s="43" t="s">
        <v>1109</v>
      </c>
      <c r="N755" s="14">
        <v>100</v>
      </c>
      <c r="O755" s="35">
        <v>0.65817930687617299</v>
      </c>
      <c r="P755" s="35"/>
      <c r="Q755" s="35"/>
      <c r="R755" s="146">
        <f t="shared" si="80"/>
        <v>0.65817930687617299</v>
      </c>
      <c r="S755" s="2">
        <f t="shared" si="81"/>
        <v>7.1541229008279675E-3</v>
      </c>
    </row>
    <row r="756" spans="1:19" x14ac:dyDescent="0.25">
      <c r="A756" s="230"/>
      <c r="B756" s="230"/>
      <c r="C756" s="230"/>
      <c r="D756" s="230"/>
      <c r="E756" s="230"/>
      <c r="F756" s="221"/>
      <c r="G756" s="222"/>
      <c r="H756" s="221"/>
      <c r="I756" s="222"/>
      <c r="J756" s="230"/>
      <c r="K756" s="43"/>
      <c r="L756" s="241"/>
      <c r="M756" s="43" t="s">
        <v>245</v>
      </c>
      <c r="N756" s="14">
        <v>630</v>
      </c>
      <c r="O756" s="35">
        <v>65.817930687617306</v>
      </c>
      <c r="P756" s="35"/>
      <c r="Q756" s="35">
        <f>160</f>
        <v>160</v>
      </c>
      <c r="R756" s="146">
        <f t="shared" si="80"/>
        <v>225.81793068761732</v>
      </c>
      <c r="S756" s="2">
        <f t="shared" si="81"/>
        <v>0.38960995632784218</v>
      </c>
    </row>
    <row r="757" spans="1:19" x14ac:dyDescent="0.25">
      <c r="A757" s="230"/>
      <c r="B757" s="230"/>
      <c r="C757" s="230"/>
      <c r="D757" s="230"/>
      <c r="E757" s="230"/>
      <c r="F757" s="221"/>
      <c r="G757" s="222"/>
      <c r="H757" s="221"/>
      <c r="I757" s="222"/>
      <c r="J757" s="230"/>
      <c r="K757" s="43"/>
      <c r="L757" s="241"/>
      <c r="M757" s="43" t="s">
        <v>1110</v>
      </c>
      <c r="N757" s="14">
        <v>160</v>
      </c>
      <c r="O757" s="35">
        <v>0.65817930687617299</v>
      </c>
      <c r="P757" s="35"/>
      <c r="Q757" s="35"/>
      <c r="R757" s="146">
        <f t="shared" si="80"/>
        <v>0.65817930687617299</v>
      </c>
      <c r="S757" s="2">
        <f t="shared" si="81"/>
        <v>4.4713268130174792E-3</v>
      </c>
    </row>
    <row r="758" spans="1:19" x14ac:dyDescent="0.25">
      <c r="A758" s="231"/>
      <c r="B758" s="230"/>
      <c r="C758" s="230"/>
      <c r="D758" s="230"/>
      <c r="E758" s="230"/>
      <c r="F758" s="223"/>
      <c r="G758" s="224"/>
      <c r="H758" s="221"/>
      <c r="I758" s="222"/>
      <c r="J758" s="231"/>
      <c r="K758" s="43"/>
      <c r="L758" s="242"/>
      <c r="M758" s="43" t="s">
        <v>1111</v>
      </c>
      <c r="N758" s="14">
        <v>160</v>
      </c>
      <c r="O758" s="35">
        <v>0.65817930687617299</v>
      </c>
      <c r="P758" s="35"/>
      <c r="Q758" s="35"/>
      <c r="R758" s="146">
        <f t="shared" si="80"/>
        <v>0.65817930687617299</v>
      </c>
      <c r="S758" s="2">
        <f t="shared" si="81"/>
        <v>4.4713268130174792E-3</v>
      </c>
    </row>
    <row r="759" spans="1:19" x14ac:dyDescent="0.25">
      <c r="A759" s="229">
        <v>22</v>
      </c>
      <c r="B759" s="230"/>
      <c r="C759" s="230"/>
      <c r="D759" s="230"/>
      <c r="E759" s="230"/>
      <c r="F759" s="219" t="s">
        <v>90</v>
      </c>
      <c r="G759" s="220"/>
      <c r="H759" s="221"/>
      <c r="I759" s="222"/>
      <c r="J759" s="229"/>
      <c r="K759" s="43"/>
      <c r="L759" s="240">
        <f>SUM(S759:S769)</f>
        <v>2.3786458321857538</v>
      </c>
      <c r="M759" s="43" t="s">
        <v>228</v>
      </c>
      <c r="N759" s="14">
        <v>160</v>
      </c>
      <c r="O759" s="35">
        <v>7.8981516825140803</v>
      </c>
      <c r="P759" s="35"/>
      <c r="Q759" s="35"/>
      <c r="R759" s="146">
        <f t="shared" si="80"/>
        <v>7.8981516825140803</v>
      </c>
      <c r="S759" s="2">
        <f t="shared" si="81"/>
        <v>5.3655921756209778E-2</v>
      </c>
    </row>
    <row r="760" spans="1:19" x14ac:dyDescent="0.25">
      <c r="A760" s="230"/>
      <c r="B760" s="230"/>
      <c r="C760" s="230"/>
      <c r="D760" s="230"/>
      <c r="E760" s="230"/>
      <c r="F760" s="221"/>
      <c r="G760" s="222"/>
      <c r="H760" s="221"/>
      <c r="I760" s="222"/>
      <c r="J760" s="230"/>
      <c r="K760" s="43"/>
      <c r="L760" s="241"/>
      <c r="M760" s="43" t="s">
        <v>229</v>
      </c>
      <c r="N760" s="14">
        <v>400</v>
      </c>
      <c r="O760" s="35">
        <v>111.89048216894901</v>
      </c>
      <c r="P760" s="35"/>
      <c r="Q760" s="35">
        <v>11</v>
      </c>
      <c r="R760" s="146">
        <f t="shared" si="80"/>
        <v>122.89048216894901</v>
      </c>
      <c r="S760" s="2">
        <f t="shared" si="81"/>
        <v>0.3339415276330136</v>
      </c>
    </row>
    <row r="761" spans="1:19" x14ac:dyDescent="0.25">
      <c r="A761" s="230"/>
      <c r="B761" s="230"/>
      <c r="C761" s="230"/>
      <c r="D761" s="230"/>
      <c r="E761" s="230"/>
      <c r="F761" s="221"/>
      <c r="G761" s="222"/>
      <c r="H761" s="221"/>
      <c r="I761" s="222"/>
      <c r="J761" s="230"/>
      <c r="K761" s="43"/>
      <c r="L761" s="241"/>
      <c r="M761" s="43" t="s">
        <v>230</v>
      </c>
      <c r="N761" s="14">
        <v>250</v>
      </c>
      <c r="O761" s="35">
        <v>52.654344550093903</v>
      </c>
      <c r="P761" s="35"/>
      <c r="Q761" s="35"/>
      <c r="R761" s="146">
        <f t="shared" si="80"/>
        <v>52.654344550093903</v>
      </c>
      <c r="S761" s="2">
        <f t="shared" si="81"/>
        <v>0.22893193282649524</v>
      </c>
    </row>
    <row r="762" spans="1:19" x14ac:dyDescent="0.25">
      <c r="A762" s="230"/>
      <c r="B762" s="230"/>
      <c r="C762" s="230"/>
      <c r="D762" s="230"/>
      <c r="E762" s="230"/>
      <c r="F762" s="221"/>
      <c r="G762" s="222"/>
      <c r="H762" s="221"/>
      <c r="I762" s="222"/>
      <c r="J762" s="230"/>
      <c r="K762" s="43"/>
      <c r="L762" s="241"/>
      <c r="M762" s="43" t="s">
        <v>231</v>
      </c>
      <c r="N762" s="14">
        <v>250</v>
      </c>
      <c r="O762" s="35">
        <v>39.490758412570401</v>
      </c>
      <c r="P762" s="35"/>
      <c r="Q762" s="35"/>
      <c r="R762" s="146">
        <f t="shared" si="80"/>
        <v>39.490758412570401</v>
      </c>
      <c r="S762" s="2">
        <f t="shared" si="81"/>
        <v>0.17169894961987131</v>
      </c>
    </row>
    <row r="763" spans="1:19" x14ac:dyDescent="0.25">
      <c r="A763" s="230"/>
      <c r="B763" s="230"/>
      <c r="C763" s="230"/>
      <c r="D763" s="230"/>
      <c r="E763" s="230"/>
      <c r="F763" s="221"/>
      <c r="G763" s="222"/>
      <c r="H763" s="221"/>
      <c r="I763" s="222"/>
      <c r="J763" s="230"/>
      <c r="K763" s="43"/>
      <c r="L763" s="241"/>
      <c r="M763" s="43" t="s">
        <v>232</v>
      </c>
      <c r="N763" s="14">
        <v>250</v>
      </c>
      <c r="O763" s="35">
        <v>26.327172275046902</v>
      </c>
      <c r="P763" s="35"/>
      <c r="Q763" s="35"/>
      <c r="R763" s="146">
        <f t="shared" si="80"/>
        <v>26.327172275046902</v>
      </c>
      <c r="S763" s="2">
        <f t="shared" si="81"/>
        <v>0.1144659664132474</v>
      </c>
    </row>
    <row r="764" spans="1:19" x14ac:dyDescent="0.25">
      <c r="A764" s="230"/>
      <c r="B764" s="230"/>
      <c r="C764" s="230"/>
      <c r="D764" s="230"/>
      <c r="E764" s="230"/>
      <c r="F764" s="221"/>
      <c r="G764" s="222"/>
      <c r="H764" s="221"/>
      <c r="I764" s="222"/>
      <c r="J764" s="230"/>
      <c r="K764" s="43"/>
      <c r="L764" s="241"/>
      <c r="M764" s="43" t="s">
        <v>233</v>
      </c>
      <c r="N764" s="14">
        <v>400</v>
      </c>
      <c r="O764" s="35">
        <v>52.654344550093903</v>
      </c>
      <c r="P764" s="35"/>
      <c r="Q764" s="35"/>
      <c r="R764" s="146">
        <f t="shared" si="80"/>
        <v>52.654344550093903</v>
      </c>
      <c r="S764" s="2">
        <f t="shared" si="81"/>
        <v>0.14308245801655953</v>
      </c>
    </row>
    <row r="765" spans="1:19" x14ac:dyDescent="0.25">
      <c r="A765" s="230"/>
      <c r="B765" s="230"/>
      <c r="C765" s="230"/>
      <c r="D765" s="230"/>
      <c r="E765" s="230"/>
      <c r="F765" s="221"/>
      <c r="G765" s="222"/>
      <c r="H765" s="221"/>
      <c r="I765" s="222"/>
      <c r="J765" s="230"/>
      <c r="K765" s="43"/>
      <c r="L765" s="241"/>
      <c r="M765" s="43" t="s">
        <v>234</v>
      </c>
      <c r="N765" s="86">
        <f>2*400</f>
        <v>800</v>
      </c>
      <c r="O765" s="35">
        <v>79.639696132016994</v>
      </c>
      <c r="P765" s="35"/>
      <c r="Q765" s="35"/>
      <c r="R765" s="146">
        <f t="shared" si="80"/>
        <v>79.639696132016994</v>
      </c>
      <c r="S765" s="2">
        <f t="shared" si="81"/>
        <v>0.10820610887502309</v>
      </c>
    </row>
    <row r="766" spans="1:19" x14ac:dyDescent="0.25">
      <c r="A766" s="230"/>
      <c r="B766" s="230"/>
      <c r="C766" s="230"/>
      <c r="D766" s="230"/>
      <c r="E766" s="230"/>
      <c r="F766" s="221"/>
      <c r="G766" s="222"/>
      <c r="H766" s="221"/>
      <c r="I766" s="222"/>
      <c r="J766" s="230"/>
      <c r="K766" s="43"/>
      <c r="L766" s="241"/>
      <c r="M766" s="43" t="s">
        <v>240</v>
      </c>
      <c r="N766" s="14">
        <v>400</v>
      </c>
      <c r="O766" s="35">
        <v>102.67597187268299</v>
      </c>
      <c r="P766" s="35"/>
      <c r="Q766" s="35"/>
      <c r="R766" s="146">
        <f t="shared" si="80"/>
        <v>102.67597187268299</v>
      </c>
      <c r="S766" s="2">
        <f t="shared" si="81"/>
        <v>0.27901079313229077</v>
      </c>
    </row>
    <row r="767" spans="1:19" x14ac:dyDescent="0.25">
      <c r="A767" s="230"/>
      <c r="B767" s="230"/>
      <c r="C767" s="230"/>
      <c r="D767" s="230"/>
      <c r="E767" s="230"/>
      <c r="F767" s="221"/>
      <c r="G767" s="222"/>
      <c r="H767" s="221"/>
      <c r="I767" s="222"/>
      <c r="J767" s="230"/>
      <c r="K767" s="43"/>
      <c r="L767" s="241"/>
      <c r="M767" s="43" t="s">
        <v>395</v>
      </c>
      <c r="N767" s="14">
        <v>160</v>
      </c>
      <c r="O767" s="35">
        <v>32</v>
      </c>
      <c r="P767" s="35"/>
      <c r="Q767" s="35"/>
      <c r="R767" s="146">
        <f t="shared" si="80"/>
        <v>32</v>
      </c>
      <c r="S767" s="2">
        <f t="shared" si="81"/>
        <v>0.21739130434782605</v>
      </c>
    </row>
    <row r="768" spans="1:19" x14ac:dyDescent="0.25">
      <c r="A768" s="230"/>
      <c r="B768" s="230"/>
      <c r="C768" s="230"/>
      <c r="D768" s="230"/>
      <c r="E768" s="230"/>
      <c r="F768" s="221"/>
      <c r="G768" s="222"/>
      <c r="H768" s="221"/>
      <c r="I768" s="222"/>
      <c r="J768" s="230"/>
      <c r="K768" s="43"/>
      <c r="L768" s="241"/>
      <c r="M768" s="43" t="s">
        <v>396</v>
      </c>
      <c r="N768" s="14">
        <v>160</v>
      </c>
      <c r="O768" s="35">
        <v>48</v>
      </c>
      <c r="P768" s="35"/>
      <c r="Q768" s="35"/>
      <c r="R768" s="146">
        <f t="shared" si="80"/>
        <v>48</v>
      </c>
      <c r="S768" s="2">
        <f t="shared" si="81"/>
        <v>0.32608695652173908</v>
      </c>
    </row>
    <row r="769" spans="1:19" x14ac:dyDescent="0.25">
      <c r="A769" s="231"/>
      <c r="B769" s="230"/>
      <c r="C769" s="230"/>
      <c r="D769" s="230"/>
      <c r="E769" s="230"/>
      <c r="F769" s="223"/>
      <c r="G769" s="224"/>
      <c r="H769" s="221"/>
      <c r="I769" s="222"/>
      <c r="J769" s="231"/>
      <c r="K769" s="43"/>
      <c r="L769" s="242"/>
      <c r="M769" s="43" t="s">
        <v>1112</v>
      </c>
      <c r="N769" s="14">
        <v>100</v>
      </c>
      <c r="O769" s="35">
        <v>37</v>
      </c>
      <c r="P769" s="35"/>
      <c r="Q769" s="35"/>
      <c r="R769" s="146">
        <f t="shared" si="80"/>
        <v>37</v>
      </c>
      <c r="S769" s="2">
        <f t="shared" si="81"/>
        <v>0.40217391304347827</v>
      </c>
    </row>
    <row r="770" spans="1:19" x14ac:dyDescent="0.25">
      <c r="A770" s="229">
        <v>23</v>
      </c>
      <c r="B770" s="230"/>
      <c r="C770" s="230"/>
      <c r="D770" s="230"/>
      <c r="E770" s="230"/>
      <c r="F770" s="219" t="s">
        <v>91</v>
      </c>
      <c r="G770" s="220"/>
      <c r="H770" s="221"/>
      <c r="I770" s="222"/>
      <c r="J770" s="229"/>
      <c r="K770" s="43"/>
      <c r="L770" s="240">
        <f>SUM(S770:S776)</f>
        <v>1.9643036381036194</v>
      </c>
      <c r="M770" s="43" t="s">
        <v>241</v>
      </c>
      <c r="N770" s="14">
        <v>250</v>
      </c>
      <c r="O770" s="35">
        <v>117.155916623959</v>
      </c>
      <c r="P770" s="35"/>
      <c r="Q770" s="35"/>
      <c r="R770" s="146">
        <f t="shared" si="80"/>
        <v>117.155916623959</v>
      </c>
      <c r="S770" s="2">
        <f t="shared" si="81"/>
        <v>0.50937355053895217</v>
      </c>
    </row>
    <row r="771" spans="1:19" x14ac:dyDescent="0.25">
      <c r="A771" s="230"/>
      <c r="B771" s="230"/>
      <c r="C771" s="230"/>
      <c r="D771" s="230"/>
      <c r="E771" s="230"/>
      <c r="F771" s="221"/>
      <c r="G771" s="222"/>
      <c r="H771" s="221"/>
      <c r="I771" s="222"/>
      <c r="J771" s="230"/>
      <c r="K771" s="43"/>
      <c r="L771" s="241"/>
      <c r="M771" s="43" t="s">
        <v>242</v>
      </c>
      <c r="N771" s="14">
        <v>160</v>
      </c>
      <c r="O771" s="35">
        <v>5.2654344550093901</v>
      </c>
      <c r="P771" s="35"/>
      <c r="Q771" s="35"/>
      <c r="R771" s="146">
        <f t="shared" si="80"/>
        <v>5.2654344550093901</v>
      </c>
      <c r="S771" s="2">
        <f t="shared" si="81"/>
        <v>3.5770614504139875E-2</v>
      </c>
    </row>
    <row r="772" spans="1:19" x14ac:dyDescent="0.25">
      <c r="A772" s="230"/>
      <c r="B772" s="230"/>
      <c r="C772" s="230"/>
      <c r="D772" s="230"/>
      <c r="E772" s="230"/>
      <c r="F772" s="221"/>
      <c r="G772" s="222"/>
      <c r="H772" s="221"/>
      <c r="I772" s="222"/>
      <c r="J772" s="230"/>
      <c r="K772" s="43"/>
      <c r="L772" s="241"/>
      <c r="M772" s="43" t="s">
        <v>243</v>
      </c>
      <c r="N772" s="14">
        <v>400</v>
      </c>
      <c r="O772" s="35">
        <v>26.327172275046902</v>
      </c>
      <c r="P772" s="35"/>
      <c r="Q772" s="35"/>
      <c r="R772" s="146">
        <f t="shared" si="80"/>
        <v>26.327172275046902</v>
      </c>
      <c r="S772" s="2">
        <f t="shared" si="81"/>
        <v>7.1541229008279625E-2</v>
      </c>
    </row>
    <row r="773" spans="1:19" x14ac:dyDescent="0.25">
      <c r="A773" s="230"/>
      <c r="B773" s="230"/>
      <c r="C773" s="230"/>
      <c r="D773" s="230"/>
      <c r="E773" s="230"/>
      <c r="F773" s="221"/>
      <c r="G773" s="222"/>
      <c r="H773" s="221"/>
      <c r="I773" s="222"/>
      <c r="J773" s="230"/>
      <c r="K773" s="43"/>
      <c r="L773" s="241"/>
      <c r="M773" s="43" t="s">
        <v>244</v>
      </c>
      <c r="N773" s="14">
        <v>250</v>
      </c>
      <c r="O773" s="35">
        <v>79.639696132016994</v>
      </c>
      <c r="P773" s="35"/>
      <c r="Q773" s="35"/>
      <c r="R773" s="146">
        <f t="shared" si="80"/>
        <v>79.639696132016994</v>
      </c>
      <c r="S773" s="2">
        <f t="shared" si="81"/>
        <v>0.34625954840007389</v>
      </c>
    </row>
    <row r="774" spans="1:19" x14ac:dyDescent="0.25">
      <c r="A774" s="230"/>
      <c r="B774" s="230"/>
      <c r="C774" s="230"/>
      <c r="D774" s="230"/>
      <c r="E774" s="230"/>
      <c r="F774" s="221"/>
      <c r="G774" s="222"/>
      <c r="H774" s="221"/>
      <c r="I774" s="222"/>
      <c r="J774" s="230"/>
      <c r="K774" s="43"/>
      <c r="L774" s="241"/>
      <c r="M774" s="43" t="s">
        <v>397</v>
      </c>
      <c r="N774" s="14">
        <v>160</v>
      </c>
      <c r="O774" s="35">
        <v>37</v>
      </c>
      <c r="P774" s="35"/>
      <c r="Q774" s="35"/>
      <c r="R774" s="146">
        <f t="shared" si="80"/>
        <v>37</v>
      </c>
      <c r="S774" s="2">
        <f t="shared" si="81"/>
        <v>0.25135869565217389</v>
      </c>
    </row>
    <row r="775" spans="1:19" x14ac:dyDescent="0.25">
      <c r="A775" s="230"/>
      <c r="B775" s="230"/>
      <c r="C775" s="230"/>
      <c r="D775" s="230"/>
      <c r="E775" s="230"/>
      <c r="F775" s="221"/>
      <c r="G775" s="222"/>
      <c r="H775" s="221"/>
      <c r="I775" s="222"/>
      <c r="J775" s="230"/>
      <c r="K775" s="43"/>
      <c r="L775" s="241"/>
      <c r="M775" s="43" t="s">
        <v>398</v>
      </c>
      <c r="N775" s="14">
        <v>10</v>
      </c>
      <c r="O775" s="35">
        <v>3</v>
      </c>
      <c r="P775" s="35"/>
      <c r="Q775" s="35"/>
      <c r="R775" s="146">
        <f t="shared" si="80"/>
        <v>3</v>
      </c>
      <c r="S775" s="2">
        <f t="shared" si="81"/>
        <v>0.32608695652173908</v>
      </c>
    </row>
    <row r="776" spans="1:19" x14ac:dyDescent="0.25">
      <c r="A776" s="231"/>
      <c r="B776" s="231"/>
      <c r="C776" s="231"/>
      <c r="D776" s="231"/>
      <c r="E776" s="231"/>
      <c r="F776" s="223"/>
      <c r="G776" s="224"/>
      <c r="H776" s="223"/>
      <c r="I776" s="224"/>
      <c r="J776" s="231"/>
      <c r="K776" s="43"/>
      <c r="L776" s="242"/>
      <c r="M776" s="43" t="s">
        <v>1113</v>
      </c>
      <c r="N776" s="14">
        <v>100</v>
      </c>
      <c r="O776" s="35">
        <v>39</v>
      </c>
      <c r="P776" s="35"/>
      <c r="Q776" s="35"/>
      <c r="R776" s="146">
        <f t="shared" si="80"/>
        <v>39</v>
      </c>
      <c r="S776" s="2">
        <f t="shared" si="81"/>
        <v>0.42391304347826086</v>
      </c>
    </row>
    <row r="777" spans="1:19" ht="15.75" hidden="1" customHeight="1" x14ac:dyDescent="0.25">
      <c r="A777" s="43"/>
      <c r="B777" s="225" t="s">
        <v>69</v>
      </c>
      <c r="C777" s="226"/>
      <c r="D777" s="226"/>
      <c r="E777" s="226"/>
      <c r="F777" s="226"/>
      <c r="G777" s="226"/>
      <c r="H777" s="226"/>
      <c r="I777" s="227"/>
      <c r="J777" s="153"/>
      <c r="K777" s="153"/>
      <c r="L777" s="153">
        <f>L749+L759+L770</f>
        <v>5.6686894950007396</v>
      </c>
      <c r="M777" s="153"/>
      <c r="N777" s="154"/>
      <c r="O777" s="155">
        <f t="shared" ref="O777" si="83">(SQRT(3)*380*M777)/1000</f>
        <v>0</v>
      </c>
      <c r="P777" s="155"/>
      <c r="Q777" s="155"/>
      <c r="R777" s="156">
        <f t="shared" si="80"/>
        <v>0</v>
      </c>
      <c r="S777" s="155"/>
    </row>
    <row r="778" spans="1:19" ht="15.75" customHeight="1" x14ac:dyDescent="0.25">
      <c r="A778" s="229">
        <v>24</v>
      </c>
      <c r="B778" s="229" t="s">
        <v>60</v>
      </c>
      <c r="C778" s="229" t="s">
        <v>70</v>
      </c>
      <c r="D778" s="229" t="s">
        <v>3</v>
      </c>
      <c r="E778" s="229"/>
      <c r="F778" s="219" t="s">
        <v>1114</v>
      </c>
      <c r="G778" s="220"/>
      <c r="H778" s="219" t="s">
        <v>709</v>
      </c>
      <c r="I778" s="220"/>
      <c r="J778" s="229"/>
      <c r="K778" s="43"/>
      <c r="L778" s="240">
        <f>SUM(S778:S787)</f>
        <v>2.3671416141387436</v>
      </c>
      <c r="M778" s="43" t="s">
        <v>253</v>
      </c>
      <c r="N778" s="86">
        <f>2*400</f>
        <v>800</v>
      </c>
      <c r="O778" s="35">
        <v>125.71224761334901</v>
      </c>
      <c r="P778" s="35"/>
      <c r="Q778" s="35"/>
      <c r="R778" s="146">
        <f t="shared" si="80"/>
        <v>125.71224761334901</v>
      </c>
      <c r="S778" s="2">
        <f t="shared" ref="S778:S784" si="84">R778/(N778*0.92)</f>
        <v>0.17080468425726766</v>
      </c>
    </row>
    <row r="779" spans="1:19" x14ac:dyDescent="0.25">
      <c r="A779" s="230"/>
      <c r="B779" s="230"/>
      <c r="C779" s="230"/>
      <c r="D779" s="230"/>
      <c r="E779" s="230"/>
      <c r="F779" s="221"/>
      <c r="G779" s="222"/>
      <c r="H779" s="221"/>
      <c r="I779" s="222"/>
      <c r="J779" s="230"/>
      <c r="K779" s="43"/>
      <c r="L779" s="241"/>
      <c r="M779" s="43" t="s">
        <v>254</v>
      </c>
      <c r="N779" s="14">
        <f>2*100</f>
        <v>200</v>
      </c>
      <c r="O779" s="35">
        <v>78.323337518264594</v>
      </c>
      <c r="P779" s="35"/>
      <c r="Q779" s="35"/>
      <c r="R779" s="146">
        <f t="shared" si="80"/>
        <v>78.323337518264594</v>
      </c>
      <c r="S779" s="2">
        <f t="shared" si="84"/>
        <v>0.42567031259926408</v>
      </c>
    </row>
    <row r="780" spans="1:19" x14ac:dyDescent="0.25">
      <c r="A780" s="230"/>
      <c r="B780" s="230"/>
      <c r="C780" s="230"/>
      <c r="D780" s="230"/>
      <c r="E780" s="230"/>
      <c r="F780" s="221"/>
      <c r="G780" s="222"/>
      <c r="H780" s="221"/>
      <c r="I780" s="222"/>
      <c r="J780" s="230"/>
      <c r="K780" s="43"/>
      <c r="L780" s="241"/>
      <c r="M780" s="43" t="s">
        <v>256</v>
      </c>
      <c r="N780" s="14">
        <v>400</v>
      </c>
      <c r="O780" s="35">
        <v>152.039419888396</v>
      </c>
      <c r="P780" s="35"/>
      <c r="Q780" s="35"/>
      <c r="R780" s="146">
        <f t="shared" si="80"/>
        <v>152.039419888396</v>
      </c>
      <c r="S780" s="2">
        <f t="shared" si="84"/>
        <v>0.41315059752281519</v>
      </c>
    </row>
    <row r="781" spans="1:19" x14ac:dyDescent="0.25">
      <c r="A781" s="230"/>
      <c r="B781" s="230"/>
      <c r="C781" s="230"/>
      <c r="D781" s="230"/>
      <c r="E781" s="230"/>
      <c r="F781" s="221"/>
      <c r="G781" s="222"/>
      <c r="H781" s="221"/>
      <c r="I781" s="222"/>
      <c r="J781" s="230"/>
      <c r="K781" s="43"/>
      <c r="L781" s="241"/>
      <c r="M781" s="43" t="s">
        <v>257</v>
      </c>
      <c r="N781" s="14">
        <f>2*250</f>
        <v>500</v>
      </c>
      <c r="O781" s="35">
        <v>77.006978904512295</v>
      </c>
      <c r="P781" s="35"/>
      <c r="Q781" s="35">
        <f>15+35</f>
        <v>50</v>
      </c>
      <c r="R781" s="146">
        <f t="shared" si="80"/>
        <v>127.00697890451229</v>
      </c>
      <c r="S781" s="2">
        <f t="shared" si="84"/>
        <v>0.2761021280532876</v>
      </c>
    </row>
    <row r="782" spans="1:19" x14ac:dyDescent="0.25">
      <c r="A782" s="230"/>
      <c r="B782" s="230"/>
      <c r="C782" s="230"/>
      <c r="D782" s="230"/>
      <c r="E782" s="230"/>
      <c r="F782" s="221"/>
      <c r="G782" s="222"/>
      <c r="H782" s="221"/>
      <c r="I782" s="222"/>
      <c r="J782" s="230"/>
      <c r="K782" s="43"/>
      <c r="L782" s="241"/>
      <c r="M782" s="43" t="s">
        <v>258</v>
      </c>
      <c r="N782" s="1">
        <f>2*630</f>
        <v>1260</v>
      </c>
      <c r="O782" s="35">
        <v>196.1374334491</v>
      </c>
      <c r="P782" s="35"/>
      <c r="Q782" s="35">
        <f>15</f>
        <v>15</v>
      </c>
      <c r="R782" s="146">
        <f t="shared" si="80"/>
        <v>211.1374334491</v>
      </c>
      <c r="S782" s="2">
        <f t="shared" si="84"/>
        <v>0.18214064307203243</v>
      </c>
    </row>
    <row r="783" spans="1:19" x14ac:dyDescent="0.25">
      <c r="A783" s="230"/>
      <c r="B783" s="230"/>
      <c r="C783" s="230"/>
      <c r="D783" s="230"/>
      <c r="E783" s="230"/>
      <c r="F783" s="221"/>
      <c r="G783" s="222"/>
      <c r="H783" s="221"/>
      <c r="I783" s="222"/>
      <c r="J783" s="230"/>
      <c r="K783" s="43"/>
      <c r="L783" s="241"/>
      <c r="M783" s="43" t="s">
        <v>259</v>
      </c>
      <c r="N783" s="14">
        <v>400</v>
      </c>
      <c r="O783" s="35">
        <v>123.737709692721</v>
      </c>
      <c r="P783" s="35"/>
      <c r="Q783" s="35"/>
      <c r="R783" s="146">
        <f t="shared" si="80"/>
        <v>123.737709692721</v>
      </c>
      <c r="S783" s="2">
        <f t="shared" si="84"/>
        <v>0.33624377633891578</v>
      </c>
    </row>
    <row r="784" spans="1:19" x14ac:dyDescent="0.25">
      <c r="A784" s="230"/>
      <c r="B784" s="230"/>
      <c r="C784" s="230"/>
      <c r="D784" s="230"/>
      <c r="E784" s="230"/>
      <c r="F784" s="221"/>
      <c r="G784" s="222"/>
      <c r="H784" s="221"/>
      <c r="I784" s="222"/>
      <c r="J784" s="230"/>
      <c r="K784" s="43"/>
      <c r="L784" s="241"/>
      <c r="M784" s="43" t="s">
        <v>1115</v>
      </c>
      <c r="N784" s="14">
        <v>400</v>
      </c>
      <c r="O784" s="35">
        <v>106.62504771394001</v>
      </c>
      <c r="P784" s="35"/>
      <c r="Q784" s="35"/>
      <c r="R784" s="146">
        <f t="shared" si="80"/>
        <v>106.62504771394001</v>
      </c>
      <c r="S784" s="2">
        <f t="shared" si="84"/>
        <v>0.28974197748353264</v>
      </c>
    </row>
    <row r="785" spans="1:19" hidden="1" x14ac:dyDescent="0.25">
      <c r="A785" s="230"/>
      <c r="B785" s="230"/>
      <c r="C785" s="230"/>
      <c r="D785" s="230"/>
      <c r="E785" s="230"/>
      <c r="F785" s="221"/>
      <c r="G785" s="222"/>
      <c r="H785" s="221"/>
      <c r="I785" s="222"/>
      <c r="J785" s="230"/>
      <c r="K785" s="43"/>
      <c r="L785" s="241"/>
      <c r="M785" s="43" t="s">
        <v>1116</v>
      </c>
      <c r="N785" s="14">
        <v>160</v>
      </c>
      <c r="O785" s="35"/>
      <c r="P785" s="35"/>
      <c r="Q785" s="35"/>
      <c r="R785" s="146">
        <f t="shared" si="80"/>
        <v>0</v>
      </c>
      <c r="S785" s="35"/>
    </row>
    <row r="786" spans="1:19" x14ac:dyDescent="0.25">
      <c r="A786" s="230"/>
      <c r="B786" s="230"/>
      <c r="C786" s="230"/>
      <c r="D786" s="230"/>
      <c r="E786" s="230"/>
      <c r="F786" s="221"/>
      <c r="G786" s="222"/>
      <c r="H786" s="221"/>
      <c r="I786" s="222"/>
      <c r="J786" s="230"/>
      <c r="K786" s="43"/>
      <c r="L786" s="241"/>
      <c r="M786" s="43" t="s">
        <v>1117</v>
      </c>
      <c r="N786" s="14">
        <f t="shared" ref="N786:N787" si="85">2*250</f>
        <v>500</v>
      </c>
      <c r="O786" s="35">
        <v>63.843392766988799</v>
      </c>
      <c r="P786" s="35"/>
      <c r="Q786" s="35"/>
      <c r="R786" s="146">
        <f t="shared" si="80"/>
        <v>63.843392766988799</v>
      </c>
      <c r="S786" s="2">
        <f t="shared" ref="S786:S798" si="86">R786/(N786*0.92)</f>
        <v>0.13878998427606259</v>
      </c>
    </row>
    <row r="787" spans="1:19" x14ac:dyDescent="0.25">
      <c r="A787" s="231"/>
      <c r="B787" s="230"/>
      <c r="C787" s="230"/>
      <c r="D787" s="230"/>
      <c r="E787" s="230"/>
      <c r="F787" s="223"/>
      <c r="G787" s="224"/>
      <c r="H787" s="221"/>
      <c r="I787" s="222"/>
      <c r="J787" s="231"/>
      <c r="K787" s="43"/>
      <c r="L787" s="242"/>
      <c r="M787" s="43" t="s">
        <v>1118</v>
      </c>
      <c r="N787" s="14">
        <f t="shared" si="85"/>
        <v>500</v>
      </c>
      <c r="O787" s="35">
        <v>61.8688548463603</v>
      </c>
      <c r="P787" s="35"/>
      <c r="Q787" s="35"/>
      <c r="R787" s="146">
        <f t="shared" si="80"/>
        <v>61.8688548463603</v>
      </c>
      <c r="S787" s="2">
        <f t="shared" si="86"/>
        <v>0.13449751053556586</v>
      </c>
    </row>
    <row r="788" spans="1:19" x14ac:dyDescent="0.25">
      <c r="A788" s="229">
        <v>25</v>
      </c>
      <c r="B788" s="230"/>
      <c r="C788" s="230"/>
      <c r="D788" s="230"/>
      <c r="E788" s="230"/>
      <c r="F788" s="219" t="s">
        <v>1119</v>
      </c>
      <c r="G788" s="220"/>
      <c r="H788" s="221"/>
      <c r="I788" s="222"/>
      <c r="J788" s="229"/>
      <c r="K788" s="43"/>
      <c r="L788" s="240">
        <f>SUM(S788:S796)</f>
        <v>2.7549731816093339</v>
      </c>
      <c r="M788" s="43" t="s">
        <v>253</v>
      </c>
      <c r="N788" s="86">
        <f>2*400</f>
        <v>800</v>
      </c>
      <c r="O788" s="35">
        <v>123.079530385844</v>
      </c>
      <c r="P788" s="35"/>
      <c r="Q788" s="35">
        <f>15</f>
        <v>15</v>
      </c>
      <c r="R788" s="146">
        <f t="shared" si="80"/>
        <v>138.07953038584401</v>
      </c>
      <c r="S788" s="2">
        <f t="shared" si="86"/>
        <v>0.18760805758946197</v>
      </c>
    </row>
    <row r="789" spans="1:19" x14ac:dyDescent="0.25">
      <c r="A789" s="230"/>
      <c r="B789" s="230"/>
      <c r="C789" s="230"/>
      <c r="D789" s="230"/>
      <c r="E789" s="230"/>
      <c r="F789" s="221"/>
      <c r="G789" s="222"/>
      <c r="H789" s="221"/>
      <c r="I789" s="222"/>
      <c r="J789" s="230"/>
      <c r="K789" s="43"/>
      <c r="L789" s="241"/>
      <c r="M789" s="43" t="s">
        <v>254</v>
      </c>
      <c r="N789" s="14">
        <f>2*100</f>
        <v>200</v>
      </c>
      <c r="O789" s="35">
        <v>86.879668507654898</v>
      </c>
      <c r="P789" s="35"/>
      <c r="Q789" s="35"/>
      <c r="R789" s="146">
        <f t="shared" si="80"/>
        <v>86.879668507654898</v>
      </c>
      <c r="S789" s="2">
        <f t="shared" si="86"/>
        <v>0.47217211145464616</v>
      </c>
    </row>
    <row r="790" spans="1:19" ht="17.25" customHeight="1" x14ac:dyDescent="0.25">
      <c r="A790" s="230"/>
      <c r="B790" s="230"/>
      <c r="C790" s="230"/>
      <c r="D790" s="230"/>
      <c r="E790" s="230"/>
      <c r="F790" s="221"/>
      <c r="G790" s="222"/>
      <c r="H790" s="221"/>
      <c r="I790" s="222"/>
      <c r="J790" s="230"/>
      <c r="K790" s="43"/>
      <c r="L790" s="241"/>
      <c r="M790" s="43" t="s">
        <v>255</v>
      </c>
      <c r="N790" s="14">
        <v>400</v>
      </c>
      <c r="O790" s="35">
        <v>127.02860622710099</v>
      </c>
      <c r="P790" s="35"/>
      <c r="Q790" s="35">
        <f>17</f>
        <v>17</v>
      </c>
      <c r="R790" s="146">
        <f t="shared" si="80"/>
        <v>144.02860622710099</v>
      </c>
      <c r="S790" s="2">
        <f t="shared" si="86"/>
        <v>0.39138208213886139</v>
      </c>
    </row>
    <row r="791" spans="1:19" x14ac:dyDescent="0.25">
      <c r="A791" s="230"/>
      <c r="B791" s="230"/>
      <c r="C791" s="230"/>
      <c r="D791" s="230"/>
      <c r="E791" s="230"/>
      <c r="F791" s="221"/>
      <c r="G791" s="222"/>
      <c r="H791" s="221"/>
      <c r="I791" s="222"/>
      <c r="J791" s="230"/>
      <c r="K791" s="43"/>
      <c r="L791" s="241"/>
      <c r="M791" s="43" t="s">
        <v>257</v>
      </c>
      <c r="N791" s="14">
        <f>2*250</f>
        <v>500</v>
      </c>
      <c r="O791" s="35">
        <v>155.98849572965301</v>
      </c>
      <c r="P791" s="35"/>
      <c r="Q791" s="35">
        <f>35</f>
        <v>35</v>
      </c>
      <c r="R791" s="146">
        <f t="shared" si="80"/>
        <v>190.98849572965301</v>
      </c>
      <c r="S791" s="2">
        <f t="shared" si="86"/>
        <v>0.4151923820209848</v>
      </c>
    </row>
    <row r="792" spans="1:19" x14ac:dyDescent="0.25">
      <c r="A792" s="230"/>
      <c r="B792" s="230"/>
      <c r="C792" s="230"/>
      <c r="D792" s="230"/>
      <c r="E792" s="230"/>
      <c r="F792" s="221"/>
      <c r="G792" s="222"/>
      <c r="H792" s="221"/>
      <c r="I792" s="222"/>
      <c r="J792" s="230"/>
      <c r="K792" s="43"/>
      <c r="L792" s="241"/>
      <c r="M792" s="43" t="s">
        <v>258</v>
      </c>
      <c r="N792" s="1">
        <f>2*630</f>
        <v>1260</v>
      </c>
      <c r="O792" s="35">
        <v>225.09732295165099</v>
      </c>
      <c r="P792" s="35"/>
      <c r="Q792" s="35"/>
      <c r="R792" s="146">
        <f t="shared" si="80"/>
        <v>225.09732295165099</v>
      </c>
      <c r="S792" s="2">
        <f t="shared" si="86"/>
        <v>0.19418333587961611</v>
      </c>
    </row>
    <row r="793" spans="1:19" x14ac:dyDescent="0.25">
      <c r="A793" s="230"/>
      <c r="B793" s="230"/>
      <c r="C793" s="230"/>
      <c r="D793" s="230"/>
      <c r="E793" s="230"/>
      <c r="F793" s="221"/>
      <c r="G793" s="222"/>
      <c r="H793" s="221"/>
      <c r="I793" s="222"/>
      <c r="J793" s="230"/>
      <c r="K793" s="43"/>
      <c r="L793" s="241"/>
      <c r="M793" s="43" t="s">
        <v>1117</v>
      </c>
      <c r="N793" s="14">
        <f t="shared" ref="N793:N794" si="87">2*250</f>
        <v>500</v>
      </c>
      <c r="O793" s="35">
        <v>94.119640883292803</v>
      </c>
      <c r="P793" s="35"/>
      <c r="Q793" s="35"/>
      <c r="R793" s="146">
        <f t="shared" si="80"/>
        <v>94.119640883292803</v>
      </c>
      <c r="S793" s="2">
        <f t="shared" si="86"/>
        <v>0.20460791496368</v>
      </c>
    </row>
    <row r="794" spans="1:19" x14ac:dyDescent="0.25">
      <c r="A794" s="230"/>
      <c r="B794" s="230"/>
      <c r="C794" s="230"/>
      <c r="D794" s="230"/>
      <c r="E794" s="230"/>
      <c r="F794" s="221"/>
      <c r="G794" s="222"/>
      <c r="H794" s="221"/>
      <c r="I794" s="222"/>
      <c r="J794" s="230"/>
      <c r="K794" s="43"/>
      <c r="L794" s="241"/>
      <c r="M794" s="43" t="s">
        <v>1118</v>
      </c>
      <c r="N794" s="14">
        <f t="shared" si="87"/>
        <v>500</v>
      </c>
      <c r="O794" s="35">
        <v>138.875833750873</v>
      </c>
      <c r="P794" s="35"/>
      <c r="Q794" s="35"/>
      <c r="R794" s="146">
        <f t="shared" si="80"/>
        <v>138.875833750873</v>
      </c>
      <c r="S794" s="2">
        <f t="shared" si="86"/>
        <v>0.30190398641494132</v>
      </c>
    </row>
    <row r="795" spans="1:19" x14ac:dyDescent="0.25">
      <c r="A795" s="230"/>
      <c r="B795" s="230"/>
      <c r="C795" s="230"/>
      <c r="D795" s="230"/>
      <c r="E795" s="230"/>
      <c r="F795" s="221"/>
      <c r="G795" s="222"/>
      <c r="H795" s="221"/>
      <c r="I795" s="222"/>
      <c r="J795" s="230"/>
      <c r="K795" s="43"/>
      <c r="L795" s="241"/>
      <c r="M795" s="43" t="s">
        <v>1120</v>
      </c>
      <c r="N795" s="14">
        <v>400</v>
      </c>
      <c r="O795" s="35">
        <v>90.170565042035705</v>
      </c>
      <c r="P795" s="35"/>
      <c r="Q795" s="35">
        <f>11+11+11</f>
        <v>33</v>
      </c>
      <c r="R795" s="146">
        <f t="shared" si="80"/>
        <v>123.1705650420357</v>
      </c>
      <c r="S795" s="2">
        <f t="shared" si="86"/>
        <v>0.33470262239683618</v>
      </c>
    </row>
    <row r="796" spans="1:19" x14ac:dyDescent="0.25">
      <c r="A796" s="231"/>
      <c r="B796" s="230"/>
      <c r="C796" s="230"/>
      <c r="D796" s="230"/>
      <c r="E796" s="230"/>
      <c r="F796" s="223"/>
      <c r="G796" s="224"/>
      <c r="H796" s="221"/>
      <c r="I796" s="222"/>
      <c r="J796" s="231"/>
      <c r="K796" s="43"/>
      <c r="L796" s="242"/>
      <c r="M796" s="43" t="s">
        <v>1121</v>
      </c>
      <c r="N796" s="14">
        <v>400</v>
      </c>
      <c r="O796" s="35">
        <v>63.1852134601126</v>
      </c>
      <c r="P796" s="35"/>
      <c r="Q796" s="35">
        <f>15+15</f>
        <v>30</v>
      </c>
      <c r="R796" s="146">
        <f t="shared" si="80"/>
        <v>93.185213460112607</v>
      </c>
      <c r="S796" s="2">
        <f t="shared" si="86"/>
        <v>0.25322068875030601</v>
      </c>
    </row>
    <row r="797" spans="1:19" x14ac:dyDescent="0.25">
      <c r="A797" s="229">
        <v>26</v>
      </c>
      <c r="B797" s="230"/>
      <c r="C797" s="230"/>
      <c r="D797" s="230"/>
      <c r="E797" s="230"/>
      <c r="F797" s="219" t="s">
        <v>1122</v>
      </c>
      <c r="G797" s="220"/>
      <c r="H797" s="221"/>
      <c r="I797" s="222"/>
      <c r="J797" s="229"/>
      <c r="K797" s="43"/>
      <c r="L797" s="240">
        <f>SUM(S797:S800)</f>
        <v>1.1401883373194579</v>
      </c>
      <c r="M797" s="43" t="s">
        <v>260</v>
      </c>
      <c r="N797" s="14">
        <v>250</v>
      </c>
      <c r="O797" s="35">
        <v>42.781654946951299</v>
      </c>
      <c r="P797" s="35"/>
      <c r="Q797" s="35"/>
      <c r="R797" s="146">
        <f t="shared" si="80"/>
        <v>42.781654946951299</v>
      </c>
      <c r="S797" s="2">
        <f t="shared" si="86"/>
        <v>0.18600719542152738</v>
      </c>
    </row>
    <row r="798" spans="1:19" x14ac:dyDescent="0.25">
      <c r="A798" s="230"/>
      <c r="B798" s="230"/>
      <c r="C798" s="230"/>
      <c r="D798" s="230"/>
      <c r="E798" s="230"/>
      <c r="F798" s="221"/>
      <c r="G798" s="222"/>
      <c r="H798" s="221"/>
      <c r="I798" s="222"/>
      <c r="J798" s="230"/>
      <c r="K798" s="43"/>
      <c r="L798" s="241"/>
      <c r="M798" s="43" t="s">
        <v>261</v>
      </c>
      <c r="N798" s="14">
        <v>160</v>
      </c>
      <c r="O798" s="35">
        <v>79.639696132016994</v>
      </c>
      <c r="P798" s="35"/>
      <c r="Q798" s="35"/>
      <c r="R798" s="146">
        <f t="shared" si="80"/>
        <v>79.639696132016994</v>
      </c>
      <c r="S798" s="2">
        <f t="shared" si="86"/>
        <v>0.54103054437511533</v>
      </c>
    </row>
    <row r="799" spans="1:19" hidden="1" x14ac:dyDescent="0.25">
      <c r="A799" s="230"/>
      <c r="B799" s="230"/>
      <c r="C799" s="230"/>
      <c r="D799" s="230"/>
      <c r="E799" s="230"/>
      <c r="F799" s="221"/>
      <c r="G799" s="222"/>
      <c r="H799" s="221"/>
      <c r="I799" s="222"/>
      <c r="J799" s="230"/>
      <c r="K799" s="43"/>
      <c r="L799" s="241"/>
      <c r="M799" s="43" t="s">
        <v>1123</v>
      </c>
      <c r="N799" s="14">
        <v>100</v>
      </c>
      <c r="O799" s="35"/>
      <c r="P799" s="35"/>
      <c r="Q799" s="35"/>
      <c r="R799" s="146">
        <f t="shared" si="80"/>
        <v>0</v>
      </c>
      <c r="S799" s="35"/>
    </row>
    <row r="800" spans="1:19" x14ac:dyDescent="0.25">
      <c r="A800" s="231"/>
      <c r="B800" s="231"/>
      <c r="C800" s="231"/>
      <c r="D800" s="231"/>
      <c r="E800" s="231"/>
      <c r="F800" s="223"/>
      <c r="G800" s="224"/>
      <c r="H800" s="223"/>
      <c r="I800" s="224"/>
      <c r="J800" s="231"/>
      <c r="K800" s="43"/>
      <c r="L800" s="242"/>
      <c r="M800" s="43" t="s">
        <v>262</v>
      </c>
      <c r="N800" s="14">
        <v>400</v>
      </c>
      <c r="O800" s="35">
        <v>152.039419888396</v>
      </c>
      <c r="P800" s="35"/>
      <c r="Q800" s="35"/>
      <c r="R800" s="146">
        <f t="shared" ref="R800:R863" si="88">O800+P800+Q800</f>
        <v>152.039419888396</v>
      </c>
      <c r="S800" s="2">
        <f>R800/(N800*0.92)</f>
        <v>0.41315059752281519</v>
      </c>
    </row>
    <row r="801" spans="1:19" ht="15.75" hidden="1" customHeight="1" x14ac:dyDescent="0.25">
      <c r="A801" s="43"/>
      <c r="B801" s="225" t="s">
        <v>71</v>
      </c>
      <c r="C801" s="226"/>
      <c r="D801" s="226"/>
      <c r="E801" s="226"/>
      <c r="F801" s="226"/>
      <c r="G801" s="226"/>
      <c r="H801" s="226"/>
      <c r="I801" s="227"/>
      <c r="J801" s="153"/>
      <c r="K801" s="153"/>
      <c r="L801" s="153">
        <f>L778+L788+L797</f>
        <v>6.2623031330675349</v>
      </c>
      <c r="M801" s="153"/>
      <c r="N801" s="154"/>
      <c r="O801" s="154"/>
      <c r="P801" s="154"/>
      <c r="Q801" s="154"/>
      <c r="R801" s="156">
        <f t="shared" si="88"/>
        <v>0</v>
      </c>
      <c r="S801" s="154"/>
    </row>
    <row r="802" spans="1:19" ht="15.75" customHeight="1" x14ac:dyDescent="0.25">
      <c r="A802" s="229">
        <v>27</v>
      </c>
      <c r="B802" s="229"/>
      <c r="C802" s="229"/>
      <c r="D802" s="229"/>
      <c r="E802" s="229"/>
      <c r="F802" s="219" t="s">
        <v>92</v>
      </c>
      <c r="G802" s="220"/>
      <c r="H802" s="219" t="s">
        <v>709</v>
      </c>
      <c r="I802" s="220"/>
      <c r="J802" s="229"/>
      <c r="K802" s="43"/>
      <c r="L802" s="240">
        <f>SUM(S802:S810)</f>
        <v>2.4690864389233953</v>
      </c>
      <c r="M802" s="43" t="s">
        <v>208</v>
      </c>
      <c r="N802" s="14">
        <v>250</v>
      </c>
      <c r="O802" s="14">
        <v>90</v>
      </c>
      <c r="P802" s="14"/>
      <c r="Q802" s="14">
        <f>15+15+11+11</f>
        <v>52</v>
      </c>
      <c r="R802" s="146">
        <f t="shared" si="88"/>
        <v>142</v>
      </c>
      <c r="S802" s="2">
        <f t="shared" ref="S802:S809" si="89">R802/(N802*0.92)</f>
        <v>0.61739130434782608</v>
      </c>
    </row>
    <row r="803" spans="1:19" x14ac:dyDescent="0.25">
      <c r="A803" s="230"/>
      <c r="B803" s="230"/>
      <c r="C803" s="230"/>
      <c r="D803" s="230"/>
      <c r="E803" s="230"/>
      <c r="F803" s="221"/>
      <c r="G803" s="222"/>
      <c r="H803" s="221"/>
      <c r="I803" s="222"/>
      <c r="J803" s="230"/>
      <c r="K803" s="43"/>
      <c r="L803" s="241"/>
      <c r="M803" s="43" t="s">
        <v>209</v>
      </c>
      <c r="N803" s="1">
        <f>2*630</f>
        <v>1260</v>
      </c>
      <c r="O803" s="14">
        <v>73</v>
      </c>
      <c r="P803" s="14"/>
      <c r="Q803" s="14">
        <f>20</f>
        <v>20</v>
      </c>
      <c r="R803" s="146">
        <f t="shared" si="88"/>
        <v>93</v>
      </c>
      <c r="S803" s="2">
        <f t="shared" si="89"/>
        <v>8.0227743271221535E-2</v>
      </c>
    </row>
    <row r="804" spans="1:19" x14ac:dyDescent="0.25">
      <c r="A804" s="230"/>
      <c r="B804" s="230"/>
      <c r="C804" s="230"/>
      <c r="D804" s="230"/>
      <c r="E804" s="230"/>
      <c r="F804" s="221"/>
      <c r="G804" s="222"/>
      <c r="H804" s="221"/>
      <c r="I804" s="222"/>
      <c r="J804" s="230"/>
      <c r="K804" s="43"/>
      <c r="L804" s="241"/>
      <c r="M804" s="43" t="s">
        <v>213</v>
      </c>
      <c r="N804" s="14">
        <f t="shared" ref="N804:N806" si="90">2*250</f>
        <v>500</v>
      </c>
      <c r="O804" s="14">
        <v>51</v>
      </c>
      <c r="P804" s="14"/>
      <c r="Q804" s="14"/>
      <c r="R804" s="146">
        <f t="shared" si="88"/>
        <v>51</v>
      </c>
      <c r="S804" s="2">
        <f t="shared" si="89"/>
        <v>0.1108695652173913</v>
      </c>
    </row>
    <row r="805" spans="1:19" x14ac:dyDescent="0.25">
      <c r="A805" s="230"/>
      <c r="B805" s="230"/>
      <c r="C805" s="230"/>
      <c r="D805" s="230"/>
      <c r="E805" s="230"/>
      <c r="F805" s="221"/>
      <c r="G805" s="222"/>
      <c r="H805" s="221"/>
      <c r="I805" s="222"/>
      <c r="J805" s="230"/>
      <c r="K805" s="43"/>
      <c r="L805" s="241"/>
      <c r="M805" s="43" t="s">
        <v>214</v>
      </c>
      <c r="N805" s="14">
        <f t="shared" si="90"/>
        <v>500</v>
      </c>
      <c r="O805" s="14">
        <v>23</v>
      </c>
      <c r="P805" s="14"/>
      <c r="Q805" s="14"/>
      <c r="R805" s="146">
        <f t="shared" si="88"/>
        <v>23</v>
      </c>
      <c r="S805" s="2">
        <f t="shared" si="89"/>
        <v>0.05</v>
      </c>
    </row>
    <row r="806" spans="1:19" x14ac:dyDescent="0.25">
      <c r="A806" s="230"/>
      <c r="B806" s="230"/>
      <c r="C806" s="230"/>
      <c r="D806" s="230"/>
      <c r="E806" s="230"/>
      <c r="F806" s="221"/>
      <c r="G806" s="222"/>
      <c r="H806" s="221"/>
      <c r="I806" s="222"/>
      <c r="J806" s="230"/>
      <c r="K806" s="43"/>
      <c r="L806" s="241"/>
      <c r="M806" s="43" t="s">
        <v>1124</v>
      </c>
      <c r="N806" s="14">
        <f t="shared" si="90"/>
        <v>500</v>
      </c>
      <c r="O806" s="14">
        <v>34</v>
      </c>
      <c r="P806" s="14"/>
      <c r="Q806" s="14"/>
      <c r="R806" s="146">
        <f t="shared" si="88"/>
        <v>34</v>
      </c>
      <c r="S806" s="2">
        <f t="shared" si="89"/>
        <v>7.3913043478260873E-2</v>
      </c>
    </row>
    <row r="807" spans="1:19" x14ac:dyDescent="0.25">
      <c r="A807" s="230"/>
      <c r="B807" s="230"/>
      <c r="C807" s="230"/>
      <c r="D807" s="230"/>
      <c r="E807" s="230"/>
      <c r="F807" s="221"/>
      <c r="G807" s="222"/>
      <c r="H807" s="221"/>
      <c r="I807" s="222"/>
      <c r="J807" s="230"/>
      <c r="K807" s="43"/>
      <c r="L807" s="241"/>
      <c r="M807" s="43" t="s">
        <v>1125</v>
      </c>
      <c r="N807" s="14">
        <v>250</v>
      </c>
      <c r="O807" s="14">
        <v>86</v>
      </c>
      <c r="P807" s="14"/>
      <c r="Q807" s="14">
        <f>11+11</f>
        <v>22</v>
      </c>
      <c r="R807" s="146">
        <f t="shared" si="88"/>
        <v>108</v>
      </c>
      <c r="S807" s="2">
        <f t="shared" si="89"/>
        <v>0.46956521739130436</v>
      </c>
    </row>
    <row r="808" spans="1:19" x14ac:dyDescent="0.25">
      <c r="A808" s="230"/>
      <c r="B808" s="230"/>
      <c r="C808" s="230"/>
      <c r="D808" s="230"/>
      <c r="E808" s="230"/>
      <c r="F808" s="221"/>
      <c r="G808" s="222"/>
      <c r="H808" s="221"/>
      <c r="I808" s="222"/>
      <c r="J808" s="230"/>
      <c r="K808" s="43"/>
      <c r="L808" s="241"/>
      <c r="M808" s="43" t="s">
        <v>1126</v>
      </c>
      <c r="N808" s="14">
        <v>250</v>
      </c>
      <c r="O808" s="14">
        <v>72</v>
      </c>
      <c r="P808" s="14"/>
      <c r="Q808" s="14"/>
      <c r="R808" s="146">
        <f t="shared" si="88"/>
        <v>72</v>
      </c>
      <c r="S808" s="2">
        <f t="shared" si="89"/>
        <v>0.31304347826086959</v>
      </c>
    </row>
    <row r="809" spans="1:19" x14ac:dyDescent="0.25">
      <c r="A809" s="230"/>
      <c r="B809" s="230"/>
      <c r="C809" s="230"/>
      <c r="D809" s="230"/>
      <c r="E809" s="230"/>
      <c r="F809" s="221"/>
      <c r="G809" s="222"/>
      <c r="H809" s="221"/>
      <c r="I809" s="222"/>
      <c r="J809" s="230"/>
      <c r="K809" s="43"/>
      <c r="L809" s="241"/>
      <c r="M809" s="43" t="s">
        <v>1127</v>
      </c>
      <c r="N809" s="14">
        <v>160</v>
      </c>
      <c r="O809" s="14">
        <v>96</v>
      </c>
      <c r="P809" s="14"/>
      <c r="Q809" s="14">
        <f>15</f>
        <v>15</v>
      </c>
      <c r="R809" s="146">
        <f t="shared" si="88"/>
        <v>111</v>
      </c>
      <c r="S809" s="2">
        <f t="shared" si="89"/>
        <v>0.75407608695652162</v>
      </c>
    </row>
    <row r="810" spans="1:19" hidden="1" x14ac:dyDescent="0.25">
      <c r="A810" s="231"/>
      <c r="B810" s="230"/>
      <c r="C810" s="230"/>
      <c r="D810" s="230"/>
      <c r="E810" s="230"/>
      <c r="F810" s="223"/>
      <c r="G810" s="224"/>
      <c r="H810" s="221"/>
      <c r="I810" s="222"/>
      <c r="J810" s="231"/>
      <c r="K810" s="43"/>
      <c r="L810" s="242"/>
      <c r="M810" s="43" t="s">
        <v>1128</v>
      </c>
      <c r="N810" s="14">
        <v>250</v>
      </c>
      <c r="O810" s="14"/>
      <c r="P810" s="14"/>
      <c r="Q810" s="14"/>
      <c r="R810" s="146">
        <f t="shared" si="88"/>
        <v>0</v>
      </c>
      <c r="S810" s="35"/>
    </row>
    <row r="811" spans="1:19" x14ac:dyDescent="0.25">
      <c r="A811" s="229">
        <v>28</v>
      </c>
      <c r="B811" s="230"/>
      <c r="C811" s="230"/>
      <c r="D811" s="230"/>
      <c r="E811" s="230"/>
      <c r="F811" s="219" t="s">
        <v>93</v>
      </c>
      <c r="G811" s="220"/>
      <c r="H811" s="221"/>
      <c r="I811" s="222"/>
      <c r="J811" s="229"/>
      <c r="K811" s="43"/>
      <c r="L811" s="240">
        <f>SUM(S811:S823)</f>
        <v>5.7587474120082804</v>
      </c>
      <c r="M811" s="43" t="s">
        <v>1129</v>
      </c>
      <c r="N811" s="86">
        <f>2*400</f>
        <v>800</v>
      </c>
      <c r="O811" s="14">
        <v>109</v>
      </c>
      <c r="P811" s="14"/>
      <c r="Q811" s="14"/>
      <c r="R811" s="146">
        <f t="shared" si="88"/>
        <v>109</v>
      </c>
      <c r="S811" s="2">
        <f t="shared" ref="S811:S837" si="91">R811/(N811*0.92)</f>
        <v>0.14809782608695651</v>
      </c>
    </row>
    <row r="812" spans="1:19" x14ac:dyDescent="0.25">
      <c r="A812" s="230"/>
      <c r="B812" s="230"/>
      <c r="C812" s="230"/>
      <c r="D812" s="230"/>
      <c r="E812" s="230"/>
      <c r="F812" s="221"/>
      <c r="G812" s="222"/>
      <c r="H812" s="221"/>
      <c r="I812" s="222"/>
      <c r="J812" s="230"/>
      <c r="K812" s="43"/>
      <c r="L812" s="241"/>
      <c r="M812" s="43" t="s">
        <v>216</v>
      </c>
      <c r="N812" s="14">
        <v>250</v>
      </c>
      <c r="O812" s="14">
        <v>43</v>
      </c>
      <c r="P812" s="14"/>
      <c r="Q812" s="14"/>
      <c r="R812" s="146">
        <f t="shared" si="88"/>
        <v>43</v>
      </c>
      <c r="S812" s="2">
        <f t="shared" si="91"/>
        <v>0.18695652173913044</v>
      </c>
    </row>
    <row r="813" spans="1:19" x14ac:dyDescent="0.25">
      <c r="A813" s="230"/>
      <c r="B813" s="230"/>
      <c r="C813" s="230"/>
      <c r="D813" s="230"/>
      <c r="E813" s="230"/>
      <c r="F813" s="221"/>
      <c r="G813" s="222"/>
      <c r="H813" s="221"/>
      <c r="I813" s="222"/>
      <c r="J813" s="230"/>
      <c r="K813" s="43"/>
      <c r="L813" s="241"/>
      <c r="M813" s="43" t="s">
        <v>217</v>
      </c>
      <c r="N813" s="86">
        <f t="shared" ref="N813:N815" si="92">2*400</f>
        <v>800</v>
      </c>
      <c r="O813" s="14">
        <v>97</v>
      </c>
      <c r="P813" s="14"/>
      <c r="Q813" s="14"/>
      <c r="R813" s="146">
        <f t="shared" si="88"/>
        <v>97</v>
      </c>
      <c r="S813" s="2">
        <f t="shared" si="91"/>
        <v>0.13179347826086957</v>
      </c>
    </row>
    <row r="814" spans="1:19" x14ac:dyDescent="0.25">
      <c r="A814" s="230"/>
      <c r="B814" s="230"/>
      <c r="C814" s="230"/>
      <c r="D814" s="230"/>
      <c r="E814" s="230"/>
      <c r="F814" s="221"/>
      <c r="G814" s="222"/>
      <c r="H814" s="221"/>
      <c r="I814" s="222"/>
      <c r="J814" s="230"/>
      <c r="K814" s="43"/>
      <c r="L814" s="241"/>
      <c r="M814" s="43" t="s">
        <v>218</v>
      </c>
      <c r="N814" s="86">
        <f t="shared" si="92"/>
        <v>800</v>
      </c>
      <c r="O814" s="14">
        <v>140</v>
      </c>
      <c r="P814" s="14"/>
      <c r="Q814" s="14"/>
      <c r="R814" s="146">
        <f t="shared" si="88"/>
        <v>140</v>
      </c>
      <c r="S814" s="2">
        <f t="shared" si="91"/>
        <v>0.19021739130434784</v>
      </c>
    </row>
    <row r="815" spans="1:19" x14ac:dyDescent="0.25">
      <c r="A815" s="230"/>
      <c r="B815" s="230"/>
      <c r="C815" s="230"/>
      <c r="D815" s="230"/>
      <c r="E815" s="230"/>
      <c r="F815" s="221"/>
      <c r="G815" s="222"/>
      <c r="H815" s="221"/>
      <c r="I815" s="222"/>
      <c r="J815" s="230"/>
      <c r="K815" s="43"/>
      <c r="L815" s="241"/>
      <c r="M815" s="43" t="s">
        <v>222</v>
      </c>
      <c r="N815" s="86">
        <f t="shared" si="92"/>
        <v>800</v>
      </c>
      <c r="O815" s="14">
        <v>65</v>
      </c>
      <c r="P815" s="14"/>
      <c r="Q815" s="14"/>
      <c r="R815" s="146">
        <f t="shared" si="88"/>
        <v>65</v>
      </c>
      <c r="S815" s="2">
        <f t="shared" si="91"/>
        <v>8.8315217391304351E-2</v>
      </c>
    </row>
    <row r="816" spans="1:19" x14ac:dyDescent="0.25">
      <c r="A816" s="230"/>
      <c r="B816" s="230"/>
      <c r="C816" s="230"/>
      <c r="D816" s="230"/>
      <c r="E816" s="230"/>
      <c r="F816" s="221"/>
      <c r="G816" s="222"/>
      <c r="H816" s="221"/>
      <c r="I816" s="222"/>
      <c r="J816" s="230"/>
      <c r="K816" s="43"/>
      <c r="L816" s="241"/>
      <c r="M816" s="43" t="s">
        <v>224</v>
      </c>
      <c r="N816" s="1">
        <f>2*630</f>
        <v>1260</v>
      </c>
      <c r="O816" s="14">
        <v>81</v>
      </c>
      <c r="P816" s="14"/>
      <c r="Q816" s="14"/>
      <c r="R816" s="146">
        <f t="shared" si="88"/>
        <v>81</v>
      </c>
      <c r="S816" s="2">
        <f t="shared" si="91"/>
        <v>6.9875776397515521E-2</v>
      </c>
    </row>
    <row r="817" spans="1:19" x14ac:dyDescent="0.25">
      <c r="A817" s="230"/>
      <c r="B817" s="230"/>
      <c r="C817" s="230"/>
      <c r="D817" s="230"/>
      <c r="E817" s="230"/>
      <c r="F817" s="221"/>
      <c r="G817" s="222"/>
      <c r="H817" s="221"/>
      <c r="I817" s="222"/>
      <c r="J817" s="230"/>
      <c r="K817" s="43"/>
      <c r="L817" s="241"/>
      <c r="M817" s="43" t="s">
        <v>225</v>
      </c>
      <c r="N817" s="14">
        <v>250</v>
      </c>
      <c r="O817" s="14">
        <v>93</v>
      </c>
      <c r="P817" s="14"/>
      <c r="Q817" s="14"/>
      <c r="R817" s="146">
        <f t="shared" si="88"/>
        <v>93</v>
      </c>
      <c r="S817" s="2">
        <f t="shared" si="91"/>
        <v>0.40434782608695652</v>
      </c>
    </row>
    <row r="818" spans="1:19" x14ac:dyDescent="0.25">
      <c r="A818" s="230"/>
      <c r="B818" s="230"/>
      <c r="C818" s="230"/>
      <c r="D818" s="230"/>
      <c r="E818" s="230"/>
      <c r="F818" s="221"/>
      <c r="G818" s="222"/>
      <c r="H818" s="221"/>
      <c r="I818" s="222"/>
      <c r="J818" s="230"/>
      <c r="K818" s="43"/>
      <c r="L818" s="241"/>
      <c r="M818" s="43" t="s">
        <v>227</v>
      </c>
      <c r="N818" s="14">
        <v>400</v>
      </c>
      <c r="O818" s="14">
        <v>125</v>
      </c>
      <c r="P818" s="14"/>
      <c r="Q818" s="14"/>
      <c r="R818" s="146">
        <f t="shared" si="88"/>
        <v>125</v>
      </c>
      <c r="S818" s="2">
        <f t="shared" si="91"/>
        <v>0.33967391304347827</v>
      </c>
    </row>
    <row r="819" spans="1:19" x14ac:dyDescent="0.25">
      <c r="A819" s="230"/>
      <c r="B819" s="230"/>
      <c r="C819" s="230"/>
      <c r="D819" s="230"/>
      <c r="E819" s="230"/>
      <c r="F819" s="221"/>
      <c r="G819" s="222"/>
      <c r="H819" s="221"/>
      <c r="I819" s="222"/>
      <c r="J819" s="230"/>
      <c r="K819" s="43"/>
      <c r="L819" s="241"/>
      <c r="M819" s="43" t="s">
        <v>1130</v>
      </c>
      <c r="N819" s="14">
        <v>100</v>
      </c>
      <c r="O819" s="14">
        <v>118</v>
      </c>
      <c r="P819" s="14"/>
      <c r="Q819" s="14"/>
      <c r="R819" s="146">
        <f t="shared" si="88"/>
        <v>118</v>
      </c>
      <c r="S819" s="2">
        <f t="shared" si="91"/>
        <v>1.2826086956521738</v>
      </c>
    </row>
    <row r="820" spans="1:19" x14ac:dyDescent="0.25">
      <c r="A820" s="230"/>
      <c r="B820" s="230"/>
      <c r="C820" s="230"/>
      <c r="D820" s="230"/>
      <c r="E820" s="230"/>
      <c r="F820" s="221"/>
      <c r="G820" s="222"/>
      <c r="H820" s="221"/>
      <c r="I820" s="222"/>
      <c r="J820" s="230"/>
      <c r="K820" s="43"/>
      <c r="L820" s="241"/>
      <c r="M820" s="43" t="s">
        <v>1131</v>
      </c>
      <c r="N820" s="1">
        <f>2*630</f>
        <v>1260</v>
      </c>
      <c r="O820" s="14">
        <v>195</v>
      </c>
      <c r="P820" s="14"/>
      <c r="Q820" s="14"/>
      <c r="R820" s="146">
        <f t="shared" si="88"/>
        <v>195</v>
      </c>
      <c r="S820" s="2">
        <f t="shared" si="91"/>
        <v>0.16821946169772256</v>
      </c>
    </row>
    <row r="821" spans="1:19" x14ac:dyDescent="0.25">
      <c r="A821" s="230"/>
      <c r="B821" s="230"/>
      <c r="C821" s="230"/>
      <c r="D821" s="230"/>
      <c r="E821" s="230"/>
      <c r="F821" s="221"/>
      <c r="G821" s="222"/>
      <c r="H821" s="221"/>
      <c r="I821" s="222"/>
      <c r="J821" s="230"/>
      <c r="K821" s="43"/>
      <c r="L821" s="241"/>
      <c r="M821" s="43" t="s">
        <v>1132</v>
      </c>
      <c r="N821" s="14">
        <v>25</v>
      </c>
      <c r="O821" s="14">
        <v>54</v>
      </c>
      <c r="P821" s="14"/>
      <c r="Q821" s="14"/>
      <c r="R821" s="146">
        <f t="shared" si="88"/>
        <v>54</v>
      </c>
      <c r="S821" s="2">
        <f t="shared" si="91"/>
        <v>2.347826086956522</v>
      </c>
    </row>
    <row r="822" spans="1:19" x14ac:dyDescent="0.25">
      <c r="A822" s="230"/>
      <c r="B822" s="230"/>
      <c r="C822" s="230"/>
      <c r="D822" s="230"/>
      <c r="E822" s="230"/>
      <c r="F822" s="221"/>
      <c r="G822" s="222"/>
      <c r="H822" s="221"/>
      <c r="I822" s="222"/>
      <c r="J822" s="230"/>
      <c r="K822" s="43"/>
      <c r="L822" s="241"/>
      <c r="M822" s="43" t="s">
        <v>1133</v>
      </c>
      <c r="N822" s="14">
        <v>160</v>
      </c>
      <c r="O822" s="14">
        <v>49</v>
      </c>
      <c r="P822" s="14"/>
      <c r="Q822" s="14"/>
      <c r="R822" s="146">
        <f t="shared" si="88"/>
        <v>49</v>
      </c>
      <c r="S822" s="2">
        <f t="shared" si="91"/>
        <v>0.33288043478260865</v>
      </c>
    </row>
    <row r="823" spans="1:19" x14ac:dyDescent="0.25">
      <c r="A823" s="231"/>
      <c r="B823" s="230"/>
      <c r="C823" s="230"/>
      <c r="D823" s="230"/>
      <c r="E823" s="230"/>
      <c r="F823" s="223"/>
      <c r="G823" s="224"/>
      <c r="H823" s="221"/>
      <c r="I823" s="222"/>
      <c r="J823" s="231"/>
      <c r="K823" s="43"/>
      <c r="L823" s="242"/>
      <c r="M823" s="43" t="s">
        <v>206</v>
      </c>
      <c r="N823" s="14">
        <v>160</v>
      </c>
      <c r="O823" s="14">
        <v>10</v>
      </c>
      <c r="P823" s="14"/>
      <c r="Q823" s="14"/>
      <c r="R823" s="146">
        <f t="shared" si="88"/>
        <v>10</v>
      </c>
      <c r="S823" s="2">
        <f t="shared" si="91"/>
        <v>6.7934782608695649E-2</v>
      </c>
    </row>
    <row r="824" spans="1:19" x14ac:dyDescent="0.25">
      <c r="A824" s="229">
        <v>29</v>
      </c>
      <c r="B824" s="230"/>
      <c r="C824" s="230"/>
      <c r="D824" s="230"/>
      <c r="E824" s="230"/>
      <c r="F824" s="219" t="s">
        <v>94</v>
      </c>
      <c r="G824" s="220"/>
      <c r="H824" s="221"/>
      <c r="I824" s="222"/>
      <c r="J824" s="229"/>
      <c r="K824" s="43"/>
      <c r="L824" s="240">
        <f>SUM(S824:S840)</f>
        <v>4.0020143202208418</v>
      </c>
      <c r="M824" s="43" t="s">
        <v>192</v>
      </c>
      <c r="N824" s="14">
        <v>160</v>
      </c>
      <c r="O824" s="14">
        <v>16</v>
      </c>
      <c r="P824" s="14"/>
      <c r="Q824" s="14"/>
      <c r="R824" s="146">
        <f t="shared" si="88"/>
        <v>16</v>
      </c>
      <c r="S824" s="2">
        <f t="shared" si="91"/>
        <v>0.10869565217391303</v>
      </c>
    </row>
    <row r="825" spans="1:19" x14ac:dyDescent="0.25">
      <c r="A825" s="230"/>
      <c r="B825" s="230"/>
      <c r="C825" s="230"/>
      <c r="D825" s="230"/>
      <c r="E825" s="230"/>
      <c r="F825" s="221"/>
      <c r="G825" s="222"/>
      <c r="H825" s="221"/>
      <c r="I825" s="222"/>
      <c r="J825" s="230"/>
      <c r="K825" s="43"/>
      <c r="L825" s="241"/>
      <c r="M825" s="43" t="s">
        <v>193</v>
      </c>
      <c r="N825" s="14">
        <v>630</v>
      </c>
      <c r="O825" s="14">
        <v>81</v>
      </c>
      <c r="P825" s="14"/>
      <c r="Q825" s="14"/>
      <c r="R825" s="146">
        <f t="shared" si="88"/>
        <v>81</v>
      </c>
      <c r="S825" s="2">
        <f t="shared" si="91"/>
        <v>0.13975155279503104</v>
      </c>
    </row>
    <row r="826" spans="1:19" x14ac:dyDescent="0.25">
      <c r="A826" s="230"/>
      <c r="B826" s="230"/>
      <c r="C826" s="230"/>
      <c r="D826" s="230"/>
      <c r="E826" s="230"/>
      <c r="F826" s="221"/>
      <c r="G826" s="222"/>
      <c r="H826" s="221"/>
      <c r="I826" s="222"/>
      <c r="J826" s="230"/>
      <c r="K826" s="43"/>
      <c r="L826" s="241"/>
      <c r="M826" s="43" t="s">
        <v>194</v>
      </c>
      <c r="N826" s="14">
        <v>400</v>
      </c>
      <c r="O826" s="14">
        <v>136</v>
      </c>
      <c r="P826" s="14"/>
      <c r="Q826" s="14">
        <f>15+60</f>
        <v>75</v>
      </c>
      <c r="R826" s="146">
        <f t="shared" si="88"/>
        <v>211</v>
      </c>
      <c r="S826" s="2">
        <f t="shared" si="91"/>
        <v>0.57336956521739135</v>
      </c>
    </row>
    <row r="827" spans="1:19" x14ac:dyDescent="0.25">
      <c r="A827" s="230"/>
      <c r="B827" s="230"/>
      <c r="C827" s="230"/>
      <c r="D827" s="230"/>
      <c r="E827" s="230"/>
      <c r="F827" s="221"/>
      <c r="G827" s="222"/>
      <c r="H827" s="221"/>
      <c r="I827" s="222"/>
      <c r="J827" s="230"/>
      <c r="K827" s="43"/>
      <c r="L827" s="241"/>
      <c r="M827" s="43" t="s">
        <v>195</v>
      </c>
      <c r="N827" s="14">
        <v>400</v>
      </c>
      <c r="O827" s="14">
        <v>61</v>
      </c>
      <c r="P827" s="14"/>
      <c r="Q827" s="14"/>
      <c r="R827" s="146">
        <f t="shared" si="88"/>
        <v>61</v>
      </c>
      <c r="S827" s="2">
        <f t="shared" si="91"/>
        <v>0.16576086956521738</v>
      </c>
    </row>
    <row r="828" spans="1:19" x14ac:dyDescent="0.25">
      <c r="A828" s="230"/>
      <c r="B828" s="230"/>
      <c r="C828" s="230"/>
      <c r="D828" s="230"/>
      <c r="E828" s="230"/>
      <c r="F828" s="221"/>
      <c r="G828" s="222"/>
      <c r="H828" s="221"/>
      <c r="I828" s="222"/>
      <c r="J828" s="230"/>
      <c r="K828" s="43"/>
      <c r="L828" s="241"/>
      <c r="M828" s="43" t="s">
        <v>196</v>
      </c>
      <c r="N828" s="14">
        <v>160</v>
      </c>
      <c r="O828" s="14">
        <v>65</v>
      </c>
      <c r="P828" s="14"/>
      <c r="Q828" s="14"/>
      <c r="R828" s="146">
        <f t="shared" si="88"/>
        <v>65</v>
      </c>
      <c r="S828" s="2">
        <f t="shared" si="91"/>
        <v>0.44157608695652167</v>
      </c>
    </row>
    <row r="829" spans="1:19" x14ac:dyDescent="0.25">
      <c r="A829" s="230"/>
      <c r="B829" s="230"/>
      <c r="C829" s="230"/>
      <c r="D829" s="230"/>
      <c r="E829" s="230"/>
      <c r="F829" s="221"/>
      <c r="G829" s="222"/>
      <c r="H829" s="221"/>
      <c r="I829" s="222"/>
      <c r="J829" s="230"/>
      <c r="K829" s="43"/>
      <c r="L829" s="241"/>
      <c r="M829" s="43" t="s">
        <v>382</v>
      </c>
      <c r="N829" s="14">
        <f>2*250</f>
        <v>500</v>
      </c>
      <c r="O829" s="14">
        <v>39</v>
      </c>
      <c r="P829" s="14"/>
      <c r="Q829" s="14"/>
      <c r="R829" s="146">
        <f t="shared" si="88"/>
        <v>39</v>
      </c>
      <c r="S829" s="2">
        <f t="shared" si="91"/>
        <v>8.478260869565217E-2</v>
      </c>
    </row>
    <row r="830" spans="1:19" x14ac:dyDescent="0.25">
      <c r="A830" s="230"/>
      <c r="B830" s="230"/>
      <c r="C830" s="230"/>
      <c r="D830" s="230"/>
      <c r="E830" s="230"/>
      <c r="F830" s="221"/>
      <c r="G830" s="222"/>
      <c r="H830" s="221"/>
      <c r="I830" s="222"/>
      <c r="J830" s="230"/>
      <c r="K830" s="43"/>
      <c r="L830" s="241"/>
      <c r="M830" s="43" t="s">
        <v>198</v>
      </c>
      <c r="N830" s="14">
        <v>630</v>
      </c>
      <c r="O830" s="14">
        <v>155</v>
      </c>
      <c r="P830" s="14"/>
      <c r="Q830" s="14">
        <f>3</f>
        <v>3</v>
      </c>
      <c r="R830" s="146">
        <f t="shared" si="88"/>
        <v>158</v>
      </c>
      <c r="S830" s="2">
        <f t="shared" si="91"/>
        <v>0.27260179434092474</v>
      </c>
    </row>
    <row r="831" spans="1:19" x14ac:dyDescent="0.25">
      <c r="A831" s="230"/>
      <c r="B831" s="230"/>
      <c r="C831" s="230"/>
      <c r="D831" s="230"/>
      <c r="E831" s="230"/>
      <c r="F831" s="221"/>
      <c r="G831" s="222"/>
      <c r="H831" s="221"/>
      <c r="I831" s="222"/>
      <c r="J831" s="230"/>
      <c r="K831" s="43"/>
      <c r="L831" s="241"/>
      <c r="M831" s="43" t="s">
        <v>200</v>
      </c>
      <c r="N831" s="14">
        <v>250</v>
      </c>
      <c r="O831" s="14">
        <v>132</v>
      </c>
      <c r="P831" s="14"/>
      <c r="Q831" s="14"/>
      <c r="R831" s="146">
        <f t="shared" si="88"/>
        <v>132</v>
      </c>
      <c r="S831" s="2">
        <f t="shared" si="91"/>
        <v>0.57391304347826089</v>
      </c>
    </row>
    <row r="832" spans="1:19" x14ac:dyDescent="0.25">
      <c r="A832" s="230"/>
      <c r="B832" s="230"/>
      <c r="C832" s="230"/>
      <c r="D832" s="230"/>
      <c r="E832" s="230"/>
      <c r="F832" s="221"/>
      <c r="G832" s="222"/>
      <c r="H832" s="221"/>
      <c r="I832" s="222"/>
      <c r="J832" s="230"/>
      <c r="K832" s="43"/>
      <c r="L832" s="241"/>
      <c r="M832" s="43" t="s">
        <v>1134</v>
      </c>
      <c r="N832" s="14">
        <f>2*250</f>
        <v>500</v>
      </c>
      <c r="O832" s="14">
        <v>75</v>
      </c>
      <c r="P832" s="14"/>
      <c r="Q832" s="14"/>
      <c r="R832" s="146">
        <f t="shared" si="88"/>
        <v>75</v>
      </c>
      <c r="S832" s="2">
        <f t="shared" si="91"/>
        <v>0.16304347826086957</v>
      </c>
    </row>
    <row r="833" spans="1:19" x14ac:dyDescent="0.25">
      <c r="A833" s="230"/>
      <c r="B833" s="230"/>
      <c r="C833" s="230"/>
      <c r="D833" s="230"/>
      <c r="E833" s="230"/>
      <c r="F833" s="221"/>
      <c r="G833" s="222"/>
      <c r="H833" s="221"/>
      <c r="I833" s="222"/>
      <c r="J833" s="230"/>
      <c r="K833" s="43"/>
      <c r="L833" s="241"/>
      <c r="M833" s="43" t="s">
        <v>203</v>
      </c>
      <c r="N833" s="14">
        <v>400</v>
      </c>
      <c r="O833" s="14">
        <v>69</v>
      </c>
      <c r="P833" s="14"/>
      <c r="Q833" s="14">
        <f>15</f>
        <v>15</v>
      </c>
      <c r="R833" s="146">
        <f t="shared" si="88"/>
        <v>84</v>
      </c>
      <c r="S833" s="2">
        <f t="shared" si="91"/>
        <v>0.22826086956521738</v>
      </c>
    </row>
    <row r="834" spans="1:19" x14ac:dyDescent="0.25">
      <c r="A834" s="230"/>
      <c r="B834" s="230"/>
      <c r="C834" s="230"/>
      <c r="D834" s="230"/>
      <c r="E834" s="230"/>
      <c r="F834" s="221"/>
      <c r="G834" s="222"/>
      <c r="H834" s="221"/>
      <c r="I834" s="222"/>
      <c r="J834" s="230"/>
      <c r="K834" s="43"/>
      <c r="L834" s="241"/>
      <c r="M834" s="43" t="s">
        <v>387</v>
      </c>
      <c r="N834" s="1">
        <f>2*630</f>
        <v>1260</v>
      </c>
      <c r="O834" s="14">
        <v>342</v>
      </c>
      <c r="P834" s="14"/>
      <c r="Q834" s="14"/>
      <c r="R834" s="146">
        <f t="shared" si="88"/>
        <v>342</v>
      </c>
      <c r="S834" s="2">
        <f t="shared" si="91"/>
        <v>0.29503105590062112</v>
      </c>
    </row>
    <row r="835" spans="1:19" x14ac:dyDescent="0.25">
      <c r="A835" s="230"/>
      <c r="B835" s="230"/>
      <c r="C835" s="230"/>
      <c r="D835" s="230"/>
      <c r="E835" s="230"/>
      <c r="F835" s="221"/>
      <c r="G835" s="222"/>
      <c r="H835" s="221"/>
      <c r="I835" s="222"/>
      <c r="J835" s="230"/>
      <c r="K835" s="43"/>
      <c r="L835" s="241"/>
      <c r="M835" s="43" t="s">
        <v>204</v>
      </c>
      <c r="N835" s="14">
        <v>250</v>
      </c>
      <c r="O835" s="14">
        <v>77</v>
      </c>
      <c r="P835" s="14"/>
      <c r="Q835" s="14">
        <f>15</f>
        <v>15</v>
      </c>
      <c r="R835" s="146">
        <f t="shared" si="88"/>
        <v>92</v>
      </c>
      <c r="S835" s="2">
        <f t="shared" si="91"/>
        <v>0.4</v>
      </c>
    </row>
    <row r="836" spans="1:19" x14ac:dyDescent="0.25">
      <c r="A836" s="230"/>
      <c r="B836" s="230"/>
      <c r="C836" s="230"/>
      <c r="D836" s="230"/>
      <c r="E836" s="230"/>
      <c r="F836" s="221"/>
      <c r="G836" s="222"/>
      <c r="H836" s="221"/>
      <c r="I836" s="222"/>
      <c r="J836" s="230"/>
      <c r="K836" s="43"/>
      <c r="L836" s="241"/>
      <c r="M836" s="43" t="s">
        <v>390</v>
      </c>
      <c r="N836" s="14">
        <v>250</v>
      </c>
      <c r="O836" s="14">
        <v>38</v>
      </c>
      <c r="P836" s="14"/>
      <c r="Q836" s="14"/>
      <c r="R836" s="146">
        <f t="shared" si="88"/>
        <v>38</v>
      </c>
      <c r="S836" s="2">
        <f t="shared" si="91"/>
        <v>0.16521739130434782</v>
      </c>
    </row>
    <row r="837" spans="1:19" x14ac:dyDescent="0.25">
      <c r="A837" s="230"/>
      <c r="B837" s="230"/>
      <c r="C837" s="230"/>
      <c r="D837" s="230"/>
      <c r="E837" s="230"/>
      <c r="F837" s="221"/>
      <c r="G837" s="222"/>
      <c r="H837" s="221"/>
      <c r="I837" s="222"/>
      <c r="J837" s="230"/>
      <c r="K837" s="43"/>
      <c r="L837" s="241"/>
      <c r="M837" s="43" t="s">
        <v>389</v>
      </c>
      <c r="N837" s="1">
        <f>2*630</f>
        <v>1260</v>
      </c>
      <c r="O837" s="14">
        <v>93</v>
      </c>
      <c r="P837" s="14"/>
      <c r="Q837" s="14"/>
      <c r="R837" s="146">
        <f t="shared" si="88"/>
        <v>93</v>
      </c>
      <c r="S837" s="2">
        <f t="shared" si="91"/>
        <v>8.0227743271221535E-2</v>
      </c>
    </row>
    <row r="838" spans="1:19" hidden="1" x14ac:dyDescent="0.25">
      <c r="A838" s="230"/>
      <c r="B838" s="230"/>
      <c r="C838" s="230"/>
      <c r="D838" s="230"/>
      <c r="E838" s="230"/>
      <c r="F838" s="221"/>
      <c r="G838" s="222"/>
      <c r="H838" s="221"/>
      <c r="I838" s="222"/>
      <c r="J838" s="230"/>
      <c r="K838" s="43"/>
      <c r="L838" s="241"/>
      <c r="M838" s="43" t="s">
        <v>1135</v>
      </c>
      <c r="N838" s="14">
        <v>160</v>
      </c>
      <c r="O838" s="14"/>
      <c r="P838" s="14"/>
      <c r="Q838" s="14"/>
      <c r="R838" s="146">
        <f t="shared" si="88"/>
        <v>0</v>
      </c>
      <c r="S838" s="35"/>
    </row>
    <row r="839" spans="1:19" hidden="1" x14ac:dyDescent="0.25">
      <c r="A839" s="230"/>
      <c r="B839" s="230"/>
      <c r="C839" s="230"/>
      <c r="D839" s="230"/>
      <c r="E839" s="230"/>
      <c r="F839" s="221"/>
      <c r="G839" s="222"/>
      <c r="H839" s="221"/>
      <c r="I839" s="222"/>
      <c r="J839" s="230"/>
      <c r="K839" s="43"/>
      <c r="L839" s="241"/>
      <c r="M839" s="43" t="s">
        <v>1136</v>
      </c>
      <c r="N839" s="14">
        <v>250</v>
      </c>
      <c r="O839" s="14"/>
      <c r="P839" s="14"/>
      <c r="Q839" s="14"/>
      <c r="R839" s="146">
        <f t="shared" si="88"/>
        <v>0</v>
      </c>
      <c r="S839" s="35"/>
    </row>
    <row r="840" spans="1:19" x14ac:dyDescent="0.25">
      <c r="A840" s="231"/>
      <c r="B840" s="230"/>
      <c r="C840" s="230"/>
      <c r="D840" s="230"/>
      <c r="E840" s="230"/>
      <c r="F840" s="223"/>
      <c r="G840" s="224"/>
      <c r="H840" s="221"/>
      <c r="I840" s="222"/>
      <c r="J840" s="231"/>
      <c r="K840" s="43"/>
      <c r="L840" s="242"/>
      <c r="M840" s="43" t="s">
        <v>1137</v>
      </c>
      <c r="N840" s="14">
        <v>400</v>
      </c>
      <c r="O840" s="14">
        <v>114</v>
      </c>
      <c r="P840" s="14"/>
      <c r="Q840" s="14"/>
      <c r="R840" s="146">
        <f t="shared" si="88"/>
        <v>114</v>
      </c>
      <c r="S840" s="2">
        <f t="shared" ref="S840:S841" si="93">R840/(N840*0.92)</f>
        <v>0.30978260869565216</v>
      </c>
    </row>
    <row r="841" spans="1:19" x14ac:dyDescent="0.25">
      <c r="A841" s="229">
        <f>A824+1</f>
        <v>30</v>
      </c>
      <c r="B841" s="230"/>
      <c r="C841" s="230"/>
      <c r="D841" s="230"/>
      <c r="E841" s="230"/>
      <c r="F841" s="219" t="s">
        <v>95</v>
      </c>
      <c r="G841" s="220"/>
      <c r="H841" s="221"/>
      <c r="I841" s="222"/>
      <c r="J841" s="229"/>
      <c r="K841" s="43"/>
      <c r="L841" s="240">
        <f>SUM(S841:S844)</f>
        <v>0.77173913043478259</v>
      </c>
      <c r="M841" s="43" t="s">
        <v>1138</v>
      </c>
      <c r="N841" s="14">
        <v>250</v>
      </c>
      <c r="O841" s="14">
        <v>165</v>
      </c>
      <c r="P841" s="14"/>
      <c r="Q841" s="14"/>
      <c r="R841" s="146">
        <f t="shared" si="88"/>
        <v>165</v>
      </c>
      <c r="S841" s="2">
        <f t="shared" si="93"/>
        <v>0.71739130434782605</v>
      </c>
    </row>
    <row r="842" spans="1:19" hidden="1" x14ac:dyDescent="0.25">
      <c r="A842" s="230"/>
      <c r="B842" s="230"/>
      <c r="C842" s="230"/>
      <c r="D842" s="230"/>
      <c r="E842" s="230"/>
      <c r="F842" s="221"/>
      <c r="G842" s="222"/>
      <c r="H842" s="221"/>
      <c r="I842" s="222"/>
      <c r="J842" s="230"/>
      <c r="K842" s="43"/>
      <c r="L842" s="241"/>
      <c r="M842" s="43" t="s">
        <v>1139</v>
      </c>
      <c r="N842" s="14">
        <v>25</v>
      </c>
      <c r="O842" s="14"/>
      <c r="P842" s="14"/>
      <c r="Q842" s="14"/>
      <c r="R842" s="146">
        <f t="shared" si="88"/>
        <v>0</v>
      </c>
      <c r="S842" s="35"/>
    </row>
    <row r="843" spans="1:19" hidden="1" x14ac:dyDescent="0.25">
      <c r="A843" s="230"/>
      <c r="B843" s="230"/>
      <c r="C843" s="230"/>
      <c r="D843" s="230"/>
      <c r="E843" s="230"/>
      <c r="F843" s="221"/>
      <c r="G843" s="222"/>
      <c r="H843" s="221"/>
      <c r="I843" s="222"/>
      <c r="J843" s="230"/>
      <c r="K843" s="43"/>
      <c r="L843" s="241"/>
      <c r="M843" s="43" t="s">
        <v>1140</v>
      </c>
      <c r="N843" s="14">
        <v>100</v>
      </c>
      <c r="O843" s="14"/>
      <c r="P843" s="14"/>
      <c r="Q843" s="14"/>
      <c r="R843" s="146">
        <f t="shared" si="88"/>
        <v>0</v>
      </c>
      <c r="S843" s="35"/>
    </row>
    <row r="844" spans="1:19" x14ac:dyDescent="0.25">
      <c r="A844" s="231"/>
      <c r="B844" s="230"/>
      <c r="C844" s="230"/>
      <c r="D844" s="230"/>
      <c r="E844" s="230"/>
      <c r="F844" s="223"/>
      <c r="G844" s="224"/>
      <c r="H844" s="221"/>
      <c r="I844" s="222"/>
      <c r="J844" s="231"/>
      <c r="K844" s="43"/>
      <c r="L844" s="242"/>
      <c r="M844" s="43" t="s">
        <v>207</v>
      </c>
      <c r="N844" s="14">
        <v>40</v>
      </c>
      <c r="O844" s="14">
        <v>2</v>
      </c>
      <c r="P844" s="14"/>
      <c r="Q844" s="14"/>
      <c r="R844" s="146">
        <f t="shared" si="88"/>
        <v>2</v>
      </c>
      <c r="S844" s="2">
        <f t="shared" ref="S844:S847" si="94">R844/(N844*0.92)</f>
        <v>5.4347826086956513E-2</v>
      </c>
    </row>
    <row r="845" spans="1:19" x14ac:dyDescent="0.25">
      <c r="A845" s="229">
        <f>A841+1</f>
        <v>31</v>
      </c>
      <c r="B845" s="230"/>
      <c r="C845" s="230"/>
      <c r="D845" s="230"/>
      <c r="E845" s="230"/>
      <c r="F845" s="219" t="s">
        <v>1141</v>
      </c>
      <c r="G845" s="220"/>
      <c r="H845" s="221"/>
      <c r="I845" s="222"/>
      <c r="J845" s="229"/>
      <c r="K845" s="43"/>
      <c r="L845" s="240">
        <f>SUM(S845:S854)</f>
        <v>1.2369565217391303</v>
      </c>
      <c r="M845" s="43" t="s">
        <v>209</v>
      </c>
      <c r="N845" s="1">
        <f>2*630</f>
        <v>1260</v>
      </c>
      <c r="O845" s="14">
        <v>66</v>
      </c>
      <c r="P845" s="14"/>
      <c r="Q845" s="14"/>
      <c r="R845" s="146">
        <f t="shared" si="88"/>
        <v>66</v>
      </c>
      <c r="S845" s="2">
        <f t="shared" si="94"/>
        <v>5.6935817805383024E-2</v>
      </c>
    </row>
    <row r="846" spans="1:19" x14ac:dyDescent="0.25">
      <c r="A846" s="230"/>
      <c r="B846" s="230"/>
      <c r="C846" s="230"/>
      <c r="D846" s="230"/>
      <c r="E846" s="230"/>
      <c r="F846" s="221"/>
      <c r="G846" s="222"/>
      <c r="H846" s="221"/>
      <c r="I846" s="222"/>
      <c r="J846" s="230"/>
      <c r="K846" s="43"/>
      <c r="L846" s="241"/>
      <c r="M846" s="43" t="s">
        <v>210</v>
      </c>
      <c r="N846" s="14">
        <v>630</v>
      </c>
      <c r="O846" s="14">
        <v>146</v>
      </c>
      <c r="P846" s="14"/>
      <c r="Q846" s="14">
        <v>10</v>
      </c>
      <c r="R846" s="146">
        <f t="shared" si="88"/>
        <v>156</v>
      </c>
      <c r="S846" s="2">
        <f t="shared" si="94"/>
        <v>0.2691511387163561</v>
      </c>
    </row>
    <row r="847" spans="1:19" x14ac:dyDescent="0.25">
      <c r="A847" s="230"/>
      <c r="B847" s="230"/>
      <c r="C847" s="230"/>
      <c r="D847" s="230"/>
      <c r="E847" s="230"/>
      <c r="F847" s="221"/>
      <c r="G847" s="222"/>
      <c r="H847" s="221"/>
      <c r="I847" s="222"/>
      <c r="J847" s="230"/>
      <c r="K847" s="43"/>
      <c r="L847" s="241"/>
      <c r="M847" s="43" t="s">
        <v>211</v>
      </c>
      <c r="N847" s="14">
        <v>250</v>
      </c>
      <c r="O847" s="14">
        <v>76</v>
      </c>
      <c r="P847" s="14"/>
      <c r="Q847" s="14">
        <f>1</f>
        <v>1</v>
      </c>
      <c r="R847" s="146">
        <f t="shared" si="88"/>
        <v>77</v>
      </c>
      <c r="S847" s="2">
        <f t="shared" si="94"/>
        <v>0.33478260869565218</v>
      </c>
    </row>
    <row r="848" spans="1:19" hidden="1" x14ac:dyDescent="0.25">
      <c r="A848" s="230"/>
      <c r="B848" s="230"/>
      <c r="C848" s="230"/>
      <c r="D848" s="230"/>
      <c r="E848" s="230"/>
      <c r="F848" s="221"/>
      <c r="G848" s="222"/>
      <c r="H848" s="221"/>
      <c r="I848" s="222"/>
      <c r="J848" s="230"/>
      <c r="K848" s="43"/>
      <c r="L848" s="241"/>
      <c r="M848" s="43" t="s">
        <v>212</v>
      </c>
      <c r="N848" s="14">
        <v>250</v>
      </c>
      <c r="O848" s="14"/>
      <c r="P848" s="14"/>
      <c r="Q848" s="14"/>
      <c r="R848" s="146">
        <f t="shared" si="88"/>
        <v>0</v>
      </c>
      <c r="S848" s="35">
        <v>0</v>
      </c>
    </row>
    <row r="849" spans="1:19" x14ac:dyDescent="0.25">
      <c r="A849" s="230"/>
      <c r="B849" s="230"/>
      <c r="C849" s="230"/>
      <c r="D849" s="230"/>
      <c r="E849" s="230"/>
      <c r="F849" s="221"/>
      <c r="G849" s="222"/>
      <c r="H849" s="221"/>
      <c r="I849" s="222"/>
      <c r="J849" s="230"/>
      <c r="K849" s="43"/>
      <c r="L849" s="241"/>
      <c r="M849" s="43" t="s">
        <v>213</v>
      </c>
      <c r="N849" s="14">
        <f t="shared" ref="N849:N850" si="95">2*250</f>
        <v>500</v>
      </c>
      <c r="O849" s="14">
        <v>51</v>
      </c>
      <c r="P849" s="14"/>
      <c r="Q849" s="14"/>
      <c r="R849" s="146">
        <f t="shared" si="88"/>
        <v>51</v>
      </c>
      <c r="S849" s="2">
        <f t="shared" ref="S849:S852" si="96">R849/(N849*0.92)</f>
        <v>0.1108695652173913</v>
      </c>
    </row>
    <row r="850" spans="1:19" x14ac:dyDescent="0.25">
      <c r="A850" s="230"/>
      <c r="B850" s="230"/>
      <c r="C850" s="230"/>
      <c r="D850" s="230"/>
      <c r="E850" s="230"/>
      <c r="F850" s="221"/>
      <c r="G850" s="222"/>
      <c r="H850" s="221"/>
      <c r="I850" s="222"/>
      <c r="J850" s="230"/>
      <c r="K850" s="43"/>
      <c r="L850" s="241"/>
      <c r="M850" s="43" t="s">
        <v>214</v>
      </c>
      <c r="N850" s="14">
        <f t="shared" si="95"/>
        <v>500</v>
      </c>
      <c r="O850" s="14">
        <v>27</v>
      </c>
      <c r="P850" s="14"/>
      <c r="Q850" s="14"/>
      <c r="R850" s="146">
        <f t="shared" si="88"/>
        <v>27</v>
      </c>
      <c r="S850" s="2">
        <f t="shared" si="96"/>
        <v>5.8695652173913045E-2</v>
      </c>
    </row>
    <row r="851" spans="1:19" x14ac:dyDescent="0.25">
      <c r="A851" s="230"/>
      <c r="B851" s="230"/>
      <c r="C851" s="230"/>
      <c r="D851" s="230"/>
      <c r="E851" s="230"/>
      <c r="F851" s="221"/>
      <c r="G851" s="222"/>
      <c r="H851" s="221"/>
      <c r="I851" s="222"/>
      <c r="J851" s="230"/>
      <c r="K851" s="43"/>
      <c r="L851" s="241"/>
      <c r="M851" s="43" t="s">
        <v>215</v>
      </c>
      <c r="N851" s="14">
        <v>250</v>
      </c>
      <c r="O851" s="14"/>
      <c r="P851" s="14"/>
      <c r="Q851" s="14">
        <f>5</f>
        <v>5</v>
      </c>
      <c r="R851" s="146">
        <f t="shared" si="88"/>
        <v>5</v>
      </c>
      <c r="S851" s="2">
        <f t="shared" si="96"/>
        <v>2.1739130434782608E-2</v>
      </c>
    </row>
    <row r="852" spans="1:19" x14ac:dyDescent="0.25">
      <c r="A852" s="230"/>
      <c r="B852" s="230"/>
      <c r="C852" s="230"/>
      <c r="D852" s="230"/>
      <c r="E852" s="230"/>
      <c r="F852" s="221"/>
      <c r="G852" s="222"/>
      <c r="H852" s="221"/>
      <c r="I852" s="222"/>
      <c r="J852" s="230"/>
      <c r="K852" s="43"/>
      <c r="L852" s="241"/>
      <c r="M852" s="43" t="s">
        <v>1124</v>
      </c>
      <c r="N852" s="14">
        <f>2*250</f>
        <v>500</v>
      </c>
      <c r="O852" s="14">
        <v>29</v>
      </c>
      <c r="P852" s="14"/>
      <c r="Q852" s="14"/>
      <c r="R852" s="146">
        <f t="shared" si="88"/>
        <v>29</v>
      </c>
      <c r="S852" s="2">
        <f t="shared" si="96"/>
        <v>6.3043478260869562E-2</v>
      </c>
    </row>
    <row r="853" spans="1:19" hidden="1" x14ac:dyDescent="0.25">
      <c r="A853" s="230"/>
      <c r="B853" s="230"/>
      <c r="C853" s="230"/>
      <c r="D853" s="230"/>
      <c r="E853" s="230"/>
      <c r="F853" s="221"/>
      <c r="G853" s="222"/>
      <c r="H853" s="221"/>
      <c r="I853" s="222"/>
      <c r="J853" s="230"/>
      <c r="K853" s="43"/>
      <c r="L853" s="241"/>
      <c r="M853" s="43" t="s">
        <v>1142</v>
      </c>
      <c r="N853" s="14" t="s">
        <v>166</v>
      </c>
      <c r="O853" s="14"/>
      <c r="P853" s="14"/>
      <c r="Q853" s="14"/>
      <c r="R853" s="146">
        <f t="shared" si="88"/>
        <v>0</v>
      </c>
      <c r="S853" s="35"/>
    </row>
    <row r="854" spans="1:19" x14ac:dyDescent="0.25">
      <c r="A854" s="231"/>
      <c r="B854" s="230"/>
      <c r="C854" s="230"/>
      <c r="D854" s="230"/>
      <c r="E854" s="230"/>
      <c r="F854" s="223"/>
      <c r="G854" s="224"/>
      <c r="H854" s="221"/>
      <c r="I854" s="222"/>
      <c r="J854" s="231"/>
      <c r="K854" s="43"/>
      <c r="L854" s="242"/>
      <c r="M854" s="43" t="s">
        <v>1126</v>
      </c>
      <c r="N854" s="14">
        <v>250</v>
      </c>
      <c r="O854" s="14">
        <v>71</v>
      </c>
      <c r="P854" s="14"/>
      <c r="Q854" s="14">
        <f>3</f>
        <v>3</v>
      </c>
      <c r="R854" s="146">
        <f t="shared" si="88"/>
        <v>74</v>
      </c>
      <c r="S854" s="2">
        <f t="shared" ref="S854:S881" si="97">R854/(N854*0.92)</f>
        <v>0.32173913043478258</v>
      </c>
    </row>
    <row r="855" spans="1:19" x14ac:dyDescent="0.25">
      <c r="A855" s="229">
        <f>A845+1</f>
        <v>32</v>
      </c>
      <c r="B855" s="230"/>
      <c r="C855" s="230"/>
      <c r="D855" s="230"/>
      <c r="E855" s="230"/>
      <c r="F855" s="219" t="s">
        <v>1143</v>
      </c>
      <c r="G855" s="220"/>
      <c r="H855" s="221"/>
      <c r="I855" s="222"/>
      <c r="J855" s="229"/>
      <c r="K855" s="43"/>
      <c r="L855" s="240">
        <f>SUM(S855:S873)</f>
        <v>4.8665200138026208</v>
      </c>
      <c r="M855" s="43" t="s">
        <v>1144</v>
      </c>
      <c r="N855" s="43">
        <v>250</v>
      </c>
      <c r="O855" s="14">
        <v>12</v>
      </c>
      <c r="P855" s="14"/>
      <c r="Q855" s="14"/>
      <c r="R855" s="146">
        <f t="shared" si="88"/>
        <v>12</v>
      </c>
      <c r="S855" s="2">
        <f t="shared" si="97"/>
        <v>5.2173913043478258E-2</v>
      </c>
    </row>
    <row r="856" spans="1:19" x14ac:dyDescent="0.25">
      <c r="A856" s="230"/>
      <c r="B856" s="230"/>
      <c r="C856" s="230"/>
      <c r="D856" s="230"/>
      <c r="E856" s="230"/>
      <c r="F856" s="221"/>
      <c r="G856" s="222"/>
      <c r="H856" s="221"/>
      <c r="I856" s="222"/>
      <c r="J856" s="230"/>
      <c r="K856" s="43"/>
      <c r="L856" s="241"/>
      <c r="M856" s="43" t="s">
        <v>1145</v>
      </c>
      <c r="N856" s="43">
        <v>40</v>
      </c>
      <c r="O856" s="14">
        <v>17</v>
      </c>
      <c r="P856" s="14"/>
      <c r="Q856" s="14"/>
      <c r="R856" s="146">
        <f t="shared" si="88"/>
        <v>17</v>
      </c>
      <c r="S856" s="2">
        <f t="shared" si="97"/>
        <v>0.46195652173913038</v>
      </c>
    </row>
    <row r="857" spans="1:19" x14ac:dyDescent="0.25">
      <c r="A857" s="230"/>
      <c r="B857" s="230"/>
      <c r="C857" s="230"/>
      <c r="D857" s="230"/>
      <c r="E857" s="230"/>
      <c r="F857" s="221"/>
      <c r="G857" s="222"/>
      <c r="H857" s="221"/>
      <c r="I857" s="222"/>
      <c r="J857" s="230"/>
      <c r="K857" s="43"/>
      <c r="L857" s="241"/>
      <c r="M857" s="43" t="s">
        <v>1146</v>
      </c>
      <c r="N857" s="14">
        <v>160</v>
      </c>
      <c r="O857" s="14">
        <v>68</v>
      </c>
      <c r="P857" s="14"/>
      <c r="Q857" s="14"/>
      <c r="R857" s="146">
        <f t="shared" si="88"/>
        <v>68</v>
      </c>
      <c r="S857" s="2">
        <f t="shared" si="97"/>
        <v>0.46195652173913038</v>
      </c>
    </row>
    <row r="858" spans="1:19" x14ac:dyDescent="0.25">
      <c r="A858" s="230"/>
      <c r="B858" s="230"/>
      <c r="C858" s="230"/>
      <c r="D858" s="230"/>
      <c r="E858" s="230"/>
      <c r="F858" s="221"/>
      <c r="G858" s="222"/>
      <c r="H858" s="221"/>
      <c r="I858" s="222"/>
      <c r="J858" s="230"/>
      <c r="K858" s="43"/>
      <c r="L858" s="241"/>
      <c r="M858" s="43" t="s">
        <v>1129</v>
      </c>
      <c r="N858" s="86">
        <f t="shared" ref="N858:N860" si="98">2*400</f>
        <v>800</v>
      </c>
      <c r="O858" s="14">
        <v>109</v>
      </c>
      <c r="P858" s="14"/>
      <c r="Q858" s="14"/>
      <c r="R858" s="146">
        <f t="shared" si="88"/>
        <v>109</v>
      </c>
      <c r="S858" s="2">
        <f t="shared" si="97"/>
        <v>0.14809782608695651</v>
      </c>
    </row>
    <row r="859" spans="1:19" x14ac:dyDescent="0.25">
      <c r="A859" s="230"/>
      <c r="B859" s="230"/>
      <c r="C859" s="230"/>
      <c r="D859" s="230"/>
      <c r="E859" s="230"/>
      <c r="F859" s="221"/>
      <c r="G859" s="222"/>
      <c r="H859" s="221"/>
      <c r="I859" s="222"/>
      <c r="J859" s="230"/>
      <c r="K859" s="43"/>
      <c r="L859" s="241"/>
      <c r="M859" s="43" t="s">
        <v>217</v>
      </c>
      <c r="N859" s="86">
        <f t="shared" si="98"/>
        <v>800</v>
      </c>
      <c r="O859" s="14">
        <v>142</v>
      </c>
      <c r="P859" s="14"/>
      <c r="Q859" s="14"/>
      <c r="R859" s="146">
        <f t="shared" si="88"/>
        <v>142</v>
      </c>
      <c r="S859" s="2">
        <f t="shared" si="97"/>
        <v>0.19293478260869565</v>
      </c>
    </row>
    <row r="860" spans="1:19" x14ac:dyDescent="0.25">
      <c r="A860" s="230"/>
      <c r="B860" s="230"/>
      <c r="C860" s="230"/>
      <c r="D860" s="230"/>
      <c r="E860" s="230"/>
      <c r="F860" s="221"/>
      <c r="G860" s="222"/>
      <c r="H860" s="221"/>
      <c r="I860" s="222"/>
      <c r="J860" s="230"/>
      <c r="K860" s="43"/>
      <c r="L860" s="241"/>
      <c r="M860" s="43" t="s">
        <v>218</v>
      </c>
      <c r="N860" s="86">
        <f t="shared" si="98"/>
        <v>800</v>
      </c>
      <c r="O860" s="14">
        <v>196</v>
      </c>
      <c r="P860" s="14"/>
      <c r="Q860" s="14"/>
      <c r="R860" s="146">
        <f t="shared" si="88"/>
        <v>196</v>
      </c>
      <c r="S860" s="2">
        <f t="shared" si="97"/>
        <v>0.26630434782608697</v>
      </c>
    </row>
    <row r="861" spans="1:19" x14ac:dyDescent="0.25">
      <c r="A861" s="230"/>
      <c r="B861" s="230"/>
      <c r="C861" s="230"/>
      <c r="D861" s="230"/>
      <c r="E861" s="230"/>
      <c r="F861" s="221"/>
      <c r="G861" s="222"/>
      <c r="H861" s="221"/>
      <c r="I861" s="222"/>
      <c r="J861" s="230"/>
      <c r="K861" s="43"/>
      <c r="L861" s="241"/>
      <c r="M861" s="43" t="s">
        <v>219</v>
      </c>
      <c r="N861" s="1">
        <f>2*630</f>
        <v>1260</v>
      </c>
      <c r="O861" s="14">
        <v>120</v>
      </c>
      <c r="P861" s="14"/>
      <c r="Q861" s="14">
        <f>5+5</f>
        <v>10</v>
      </c>
      <c r="R861" s="146">
        <f t="shared" si="88"/>
        <v>130</v>
      </c>
      <c r="S861" s="2">
        <f t="shared" si="97"/>
        <v>0.11214630779848171</v>
      </c>
    </row>
    <row r="862" spans="1:19" x14ac:dyDescent="0.25">
      <c r="A862" s="230"/>
      <c r="B862" s="230"/>
      <c r="C862" s="230"/>
      <c r="D862" s="230"/>
      <c r="E862" s="230"/>
      <c r="F862" s="221"/>
      <c r="G862" s="222"/>
      <c r="H862" s="221"/>
      <c r="I862" s="222"/>
      <c r="J862" s="230"/>
      <c r="K862" s="43"/>
      <c r="L862" s="241"/>
      <c r="M862" s="43" t="s">
        <v>220</v>
      </c>
      <c r="N862" s="14">
        <v>250</v>
      </c>
      <c r="O862" s="14">
        <v>154</v>
      </c>
      <c r="P862" s="14"/>
      <c r="Q862" s="14">
        <f>2.5</f>
        <v>2.5</v>
      </c>
      <c r="R862" s="146">
        <f t="shared" si="88"/>
        <v>156.5</v>
      </c>
      <c r="S862" s="2">
        <f t="shared" si="97"/>
        <v>0.68043478260869561</v>
      </c>
    </row>
    <row r="863" spans="1:19" x14ac:dyDescent="0.25">
      <c r="A863" s="230"/>
      <c r="B863" s="230"/>
      <c r="C863" s="230"/>
      <c r="D863" s="230"/>
      <c r="E863" s="230"/>
      <c r="F863" s="221"/>
      <c r="G863" s="222"/>
      <c r="H863" s="221"/>
      <c r="I863" s="222"/>
      <c r="J863" s="230"/>
      <c r="K863" s="43"/>
      <c r="L863" s="241"/>
      <c r="M863" s="43" t="s">
        <v>221</v>
      </c>
      <c r="N863" s="14">
        <v>250</v>
      </c>
      <c r="O863" s="14">
        <v>39</v>
      </c>
      <c r="P863" s="14"/>
      <c r="Q863" s="14"/>
      <c r="R863" s="146">
        <f t="shared" si="88"/>
        <v>39</v>
      </c>
      <c r="S863" s="2">
        <f t="shared" si="97"/>
        <v>0.16956521739130434</v>
      </c>
    </row>
    <row r="864" spans="1:19" x14ac:dyDescent="0.25">
      <c r="A864" s="230"/>
      <c r="B864" s="230"/>
      <c r="C864" s="230"/>
      <c r="D864" s="230"/>
      <c r="E864" s="230"/>
      <c r="F864" s="221"/>
      <c r="G864" s="222"/>
      <c r="H864" s="221"/>
      <c r="I864" s="222"/>
      <c r="J864" s="230"/>
      <c r="K864" s="43"/>
      <c r="L864" s="241"/>
      <c r="M864" s="43" t="s">
        <v>223</v>
      </c>
      <c r="N864" s="86">
        <f>2*400</f>
        <v>800</v>
      </c>
      <c r="O864" s="14">
        <v>169</v>
      </c>
      <c r="P864" s="14"/>
      <c r="Q864" s="14"/>
      <c r="R864" s="146">
        <f t="shared" ref="R864:R927" si="99">O864+P864+Q864</f>
        <v>169</v>
      </c>
      <c r="S864" s="2">
        <f t="shared" si="97"/>
        <v>0.2296195652173913</v>
      </c>
    </row>
    <row r="865" spans="1:19" x14ac:dyDescent="0.25">
      <c r="A865" s="230"/>
      <c r="B865" s="230"/>
      <c r="C865" s="230"/>
      <c r="D865" s="230"/>
      <c r="E865" s="230"/>
      <c r="F865" s="221"/>
      <c r="G865" s="222"/>
      <c r="H865" s="221"/>
      <c r="I865" s="222"/>
      <c r="J865" s="230"/>
      <c r="K865" s="43"/>
      <c r="L865" s="241"/>
      <c r="M865" s="43" t="s">
        <v>224</v>
      </c>
      <c r="N865" s="1">
        <f>2*630</f>
        <v>1260</v>
      </c>
      <c r="O865" s="14">
        <v>81</v>
      </c>
      <c r="P865" s="14"/>
      <c r="Q865" s="14"/>
      <c r="R865" s="146">
        <f t="shared" si="99"/>
        <v>81</v>
      </c>
      <c r="S865" s="2">
        <f t="shared" si="97"/>
        <v>6.9875776397515521E-2</v>
      </c>
    </row>
    <row r="866" spans="1:19" x14ac:dyDescent="0.25">
      <c r="A866" s="230"/>
      <c r="B866" s="230"/>
      <c r="C866" s="230"/>
      <c r="D866" s="230"/>
      <c r="E866" s="230"/>
      <c r="F866" s="221"/>
      <c r="G866" s="222"/>
      <c r="H866" s="221"/>
      <c r="I866" s="222"/>
      <c r="J866" s="230"/>
      <c r="K866" s="43"/>
      <c r="L866" s="241"/>
      <c r="M866" s="43" t="s">
        <v>226</v>
      </c>
      <c r="N866" s="14">
        <v>250</v>
      </c>
      <c r="O866" s="14">
        <v>67</v>
      </c>
      <c r="P866" s="14"/>
      <c r="Q866" s="14"/>
      <c r="R866" s="146">
        <f t="shared" si="99"/>
        <v>67</v>
      </c>
      <c r="S866" s="2">
        <f t="shared" si="97"/>
        <v>0.29130434782608694</v>
      </c>
    </row>
    <row r="867" spans="1:19" x14ac:dyDescent="0.25">
      <c r="A867" s="230"/>
      <c r="B867" s="230"/>
      <c r="C867" s="230"/>
      <c r="D867" s="230"/>
      <c r="E867" s="230"/>
      <c r="F867" s="221"/>
      <c r="G867" s="222"/>
      <c r="H867" s="221"/>
      <c r="I867" s="222"/>
      <c r="J867" s="230"/>
      <c r="K867" s="43"/>
      <c r="L867" s="241"/>
      <c r="M867" s="43" t="s">
        <v>1147</v>
      </c>
      <c r="N867" s="14">
        <v>160</v>
      </c>
      <c r="O867" s="14">
        <v>74</v>
      </c>
      <c r="P867" s="14"/>
      <c r="Q867" s="14"/>
      <c r="R867" s="146">
        <f t="shared" si="99"/>
        <v>74</v>
      </c>
      <c r="S867" s="2">
        <f t="shared" si="97"/>
        <v>0.50271739130434778</v>
      </c>
    </row>
    <row r="868" spans="1:19" x14ac:dyDescent="0.25">
      <c r="A868" s="230"/>
      <c r="B868" s="230"/>
      <c r="C868" s="230"/>
      <c r="D868" s="230"/>
      <c r="E868" s="230"/>
      <c r="F868" s="221"/>
      <c r="G868" s="222"/>
      <c r="H868" s="221"/>
      <c r="I868" s="222"/>
      <c r="J868" s="230"/>
      <c r="K868" s="43"/>
      <c r="L868" s="241"/>
      <c r="M868" s="43" t="s">
        <v>1148</v>
      </c>
      <c r="N868" s="1">
        <f t="shared" ref="N868:N869" si="100">2*630</f>
        <v>1260</v>
      </c>
      <c r="O868" s="14">
        <v>169</v>
      </c>
      <c r="P868" s="14"/>
      <c r="Q868" s="14"/>
      <c r="R868" s="146">
        <f t="shared" si="99"/>
        <v>169</v>
      </c>
      <c r="S868" s="2">
        <f t="shared" si="97"/>
        <v>0.14579020013802621</v>
      </c>
    </row>
    <row r="869" spans="1:19" x14ac:dyDescent="0.25">
      <c r="A869" s="230"/>
      <c r="B869" s="230"/>
      <c r="C869" s="230"/>
      <c r="D869" s="230"/>
      <c r="E869" s="230"/>
      <c r="F869" s="221"/>
      <c r="G869" s="222"/>
      <c r="H869" s="221"/>
      <c r="I869" s="222"/>
      <c r="J869" s="230"/>
      <c r="K869" s="43"/>
      <c r="L869" s="241"/>
      <c r="M869" s="43" t="s">
        <v>1131</v>
      </c>
      <c r="N869" s="1">
        <f t="shared" si="100"/>
        <v>1260</v>
      </c>
      <c r="O869" s="14">
        <v>195</v>
      </c>
      <c r="P869" s="14"/>
      <c r="Q869" s="14"/>
      <c r="R869" s="146">
        <f t="shared" si="99"/>
        <v>195</v>
      </c>
      <c r="S869" s="2">
        <f t="shared" si="97"/>
        <v>0.16821946169772256</v>
      </c>
    </row>
    <row r="870" spans="1:19" x14ac:dyDescent="0.25">
      <c r="A870" s="230"/>
      <c r="B870" s="230"/>
      <c r="C870" s="230"/>
      <c r="D870" s="230"/>
      <c r="E870" s="230"/>
      <c r="F870" s="221"/>
      <c r="G870" s="222"/>
      <c r="H870" s="221"/>
      <c r="I870" s="222"/>
      <c r="J870" s="230"/>
      <c r="K870" s="43"/>
      <c r="L870" s="241"/>
      <c r="M870" s="43" t="s">
        <v>1149</v>
      </c>
      <c r="N870" s="14">
        <v>630</v>
      </c>
      <c r="O870" s="14">
        <v>67</v>
      </c>
      <c r="P870" s="14"/>
      <c r="Q870" s="14"/>
      <c r="R870" s="146">
        <f t="shared" si="99"/>
        <v>67</v>
      </c>
      <c r="S870" s="2">
        <f t="shared" si="97"/>
        <v>0.11559696342305037</v>
      </c>
    </row>
    <row r="871" spans="1:19" x14ac:dyDescent="0.25">
      <c r="A871" s="230"/>
      <c r="B871" s="230"/>
      <c r="C871" s="230"/>
      <c r="D871" s="230"/>
      <c r="E871" s="230"/>
      <c r="F871" s="221"/>
      <c r="G871" s="222"/>
      <c r="H871" s="221"/>
      <c r="I871" s="222"/>
      <c r="J871" s="230"/>
      <c r="K871" s="43"/>
      <c r="L871" s="241"/>
      <c r="M871" s="43" t="s">
        <v>1150</v>
      </c>
      <c r="N871" s="14">
        <f>2*250</f>
        <v>500</v>
      </c>
      <c r="O871" s="14">
        <v>42</v>
      </c>
      <c r="P871" s="14"/>
      <c r="Q871" s="14"/>
      <c r="R871" s="146">
        <f t="shared" si="99"/>
        <v>42</v>
      </c>
      <c r="S871" s="2">
        <f t="shared" si="97"/>
        <v>9.1304347826086957E-2</v>
      </c>
    </row>
    <row r="872" spans="1:19" x14ac:dyDescent="0.25">
      <c r="A872" s="230"/>
      <c r="B872" s="230"/>
      <c r="C872" s="230"/>
      <c r="D872" s="230"/>
      <c r="E872" s="230"/>
      <c r="F872" s="221"/>
      <c r="G872" s="222"/>
      <c r="H872" s="221"/>
      <c r="I872" s="222"/>
      <c r="J872" s="230"/>
      <c r="K872" s="43"/>
      <c r="L872" s="241"/>
      <c r="M872" s="43" t="s">
        <v>1151</v>
      </c>
      <c r="N872" s="14">
        <v>160</v>
      </c>
      <c r="O872" s="14">
        <v>32</v>
      </c>
      <c r="P872" s="14"/>
      <c r="Q872" s="14"/>
      <c r="R872" s="146">
        <f t="shared" si="99"/>
        <v>32</v>
      </c>
      <c r="S872" s="2">
        <f t="shared" si="97"/>
        <v>0.21739130434782605</v>
      </c>
    </row>
    <row r="873" spans="1:19" x14ac:dyDescent="0.25">
      <c r="A873" s="231"/>
      <c r="B873" s="230"/>
      <c r="C873" s="230"/>
      <c r="D873" s="230"/>
      <c r="E873" s="230"/>
      <c r="F873" s="223"/>
      <c r="G873" s="224"/>
      <c r="H873" s="221"/>
      <c r="I873" s="222"/>
      <c r="J873" s="231"/>
      <c r="K873" s="43"/>
      <c r="L873" s="242"/>
      <c r="M873" s="43" t="s">
        <v>1152</v>
      </c>
      <c r="N873" s="14">
        <v>160</v>
      </c>
      <c r="O873" s="14">
        <v>72</v>
      </c>
      <c r="P873" s="14"/>
      <c r="Q873" s="14"/>
      <c r="R873" s="146">
        <f t="shared" si="99"/>
        <v>72</v>
      </c>
      <c r="S873" s="2">
        <f t="shared" si="97"/>
        <v>0.48913043478260865</v>
      </c>
    </row>
    <row r="874" spans="1:19" x14ac:dyDescent="0.25">
      <c r="A874" s="229">
        <f>A855+1</f>
        <v>33</v>
      </c>
      <c r="B874" s="230"/>
      <c r="C874" s="230"/>
      <c r="D874" s="230"/>
      <c r="E874" s="230"/>
      <c r="F874" s="219" t="s">
        <v>96</v>
      </c>
      <c r="G874" s="220"/>
      <c r="H874" s="221"/>
      <c r="I874" s="222"/>
      <c r="J874" s="229"/>
      <c r="K874" s="43"/>
      <c r="L874" s="240">
        <f>SUM(S874:S890)</f>
        <v>4.203446342305039</v>
      </c>
      <c r="M874" s="43" t="s">
        <v>383</v>
      </c>
      <c r="N874" s="14">
        <f>2*250</f>
        <v>500</v>
      </c>
      <c r="O874" s="14">
        <v>40</v>
      </c>
      <c r="P874" s="14"/>
      <c r="Q874" s="14"/>
      <c r="R874" s="146">
        <f t="shared" si="99"/>
        <v>40</v>
      </c>
      <c r="S874" s="2">
        <f t="shared" si="97"/>
        <v>8.6956521739130432E-2</v>
      </c>
    </row>
    <row r="875" spans="1:19" x14ac:dyDescent="0.25">
      <c r="A875" s="230"/>
      <c r="B875" s="230"/>
      <c r="C875" s="230"/>
      <c r="D875" s="230"/>
      <c r="E875" s="230"/>
      <c r="F875" s="221"/>
      <c r="G875" s="222"/>
      <c r="H875" s="221"/>
      <c r="I875" s="222"/>
      <c r="J875" s="230"/>
      <c r="K875" s="43"/>
      <c r="L875" s="241"/>
      <c r="M875" s="43" t="s">
        <v>197</v>
      </c>
      <c r="N875" s="14">
        <v>250</v>
      </c>
      <c r="O875" s="14">
        <v>72</v>
      </c>
      <c r="P875" s="14"/>
      <c r="Q875" s="14"/>
      <c r="R875" s="146">
        <f t="shared" si="99"/>
        <v>72</v>
      </c>
      <c r="S875" s="2">
        <f t="shared" si="97"/>
        <v>0.31304347826086959</v>
      </c>
    </row>
    <row r="876" spans="1:19" x14ac:dyDescent="0.25">
      <c r="A876" s="230"/>
      <c r="B876" s="230"/>
      <c r="C876" s="230"/>
      <c r="D876" s="230"/>
      <c r="E876" s="230"/>
      <c r="F876" s="221"/>
      <c r="G876" s="222"/>
      <c r="H876" s="221"/>
      <c r="I876" s="222"/>
      <c r="J876" s="230"/>
      <c r="K876" s="43"/>
      <c r="L876" s="241"/>
      <c r="M876" s="43" t="s">
        <v>199</v>
      </c>
      <c r="N876" s="14">
        <v>250</v>
      </c>
      <c r="O876" s="14">
        <v>115</v>
      </c>
      <c r="P876" s="14"/>
      <c r="Q876" s="14">
        <f>5</f>
        <v>5</v>
      </c>
      <c r="R876" s="146">
        <f t="shared" si="99"/>
        <v>120</v>
      </c>
      <c r="S876" s="2">
        <f t="shared" si="97"/>
        <v>0.52173913043478259</v>
      </c>
    </row>
    <row r="877" spans="1:19" x14ac:dyDescent="0.25">
      <c r="A877" s="230"/>
      <c r="B877" s="230"/>
      <c r="C877" s="230"/>
      <c r="D877" s="230"/>
      <c r="E877" s="230"/>
      <c r="F877" s="221"/>
      <c r="G877" s="222"/>
      <c r="H877" s="221"/>
      <c r="I877" s="222"/>
      <c r="J877" s="230"/>
      <c r="K877" s="43"/>
      <c r="L877" s="241"/>
      <c r="M877" s="43" t="s">
        <v>201</v>
      </c>
      <c r="N877" s="14">
        <v>160</v>
      </c>
      <c r="O877" s="14">
        <v>40</v>
      </c>
      <c r="P877" s="14"/>
      <c r="Q877" s="14">
        <f>15+30</f>
        <v>45</v>
      </c>
      <c r="R877" s="146">
        <f t="shared" si="99"/>
        <v>85</v>
      </c>
      <c r="S877" s="2">
        <f t="shared" si="97"/>
        <v>0.57744565217391297</v>
      </c>
    </row>
    <row r="878" spans="1:19" x14ac:dyDescent="0.25">
      <c r="A878" s="230"/>
      <c r="B878" s="230"/>
      <c r="C878" s="230"/>
      <c r="D878" s="230"/>
      <c r="E878" s="230"/>
      <c r="F878" s="221"/>
      <c r="G878" s="222"/>
      <c r="H878" s="221"/>
      <c r="I878" s="222"/>
      <c r="J878" s="230"/>
      <c r="K878" s="43"/>
      <c r="L878" s="241"/>
      <c r="M878" s="43" t="s">
        <v>202</v>
      </c>
      <c r="N878" s="14">
        <v>250</v>
      </c>
      <c r="O878" s="14">
        <v>70</v>
      </c>
      <c r="P878" s="14"/>
      <c r="Q878" s="14"/>
      <c r="R878" s="146">
        <f t="shared" si="99"/>
        <v>70</v>
      </c>
      <c r="S878" s="2">
        <f t="shared" si="97"/>
        <v>0.30434782608695654</v>
      </c>
    </row>
    <row r="879" spans="1:19" x14ac:dyDescent="0.25">
      <c r="A879" s="230"/>
      <c r="B879" s="230"/>
      <c r="C879" s="230"/>
      <c r="D879" s="230"/>
      <c r="E879" s="230"/>
      <c r="F879" s="221"/>
      <c r="G879" s="222"/>
      <c r="H879" s="221"/>
      <c r="I879" s="222"/>
      <c r="J879" s="230"/>
      <c r="K879" s="43"/>
      <c r="L879" s="241"/>
      <c r="M879" s="43" t="s">
        <v>384</v>
      </c>
      <c r="N879" s="14">
        <f>2*250</f>
        <v>500</v>
      </c>
      <c r="O879" s="14">
        <v>135</v>
      </c>
      <c r="P879" s="14"/>
      <c r="Q879" s="14">
        <f>1</f>
        <v>1</v>
      </c>
      <c r="R879" s="146">
        <f t="shared" si="99"/>
        <v>136</v>
      </c>
      <c r="S879" s="2">
        <f t="shared" si="97"/>
        <v>0.29565217391304349</v>
      </c>
    </row>
    <row r="880" spans="1:19" x14ac:dyDescent="0.25">
      <c r="A880" s="230"/>
      <c r="B880" s="230"/>
      <c r="C880" s="230"/>
      <c r="D880" s="230"/>
      <c r="E880" s="230"/>
      <c r="F880" s="221"/>
      <c r="G880" s="222"/>
      <c r="H880" s="221"/>
      <c r="I880" s="222"/>
      <c r="J880" s="230"/>
      <c r="K880" s="43"/>
      <c r="L880" s="241"/>
      <c r="M880" s="43" t="s">
        <v>385</v>
      </c>
      <c r="N880" s="14">
        <v>250</v>
      </c>
      <c r="O880" s="14">
        <v>71</v>
      </c>
      <c r="P880" s="14"/>
      <c r="Q880" s="14"/>
      <c r="R880" s="146">
        <f t="shared" si="99"/>
        <v>71</v>
      </c>
      <c r="S880" s="2">
        <f t="shared" si="97"/>
        <v>0.30869565217391304</v>
      </c>
    </row>
    <row r="881" spans="1:19" x14ac:dyDescent="0.25">
      <c r="A881" s="230"/>
      <c r="B881" s="230"/>
      <c r="C881" s="230"/>
      <c r="D881" s="230"/>
      <c r="E881" s="230"/>
      <c r="F881" s="221"/>
      <c r="G881" s="222"/>
      <c r="H881" s="221"/>
      <c r="I881" s="222"/>
      <c r="J881" s="230"/>
      <c r="K881" s="43"/>
      <c r="L881" s="241"/>
      <c r="M881" s="43" t="s">
        <v>386</v>
      </c>
      <c r="N881" s="1">
        <f>2*630</f>
        <v>1260</v>
      </c>
      <c r="O881" s="14">
        <v>392</v>
      </c>
      <c r="P881" s="14"/>
      <c r="Q881" s="14"/>
      <c r="R881" s="146">
        <f t="shared" si="99"/>
        <v>392</v>
      </c>
      <c r="S881" s="2">
        <f t="shared" si="97"/>
        <v>0.33816425120772947</v>
      </c>
    </row>
    <row r="882" spans="1:19" hidden="1" x14ac:dyDescent="0.25">
      <c r="A882" s="230"/>
      <c r="B882" s="230"/>
      <c r="C882" s="230"/>
      <c r="D882" s="230"/>
      <c r="E882" s="230"/>
      <c r="F882" s="221"/>
      <c r="G882" s="222"/>
      <c r="H882" s="221"/>
      <c r="I882" s="222"/>
      <c r="J882" s="230"/>
      <c r="K882" s="43"/>
      <c r="L882" s="241"/>
      <c r="M882" s="43" t="s">
        <v>1153</v>
      </c>
      <c r="N882" s="14">
        <v>250</v>
      </c>
      <c r="O882" s="14"/>
      <c r="P882" s="14"/>
      <c r="Q882" s="14"/>
      <c r="R882" s="146">
        <f t="shared" si="99"/>
        <v>0</v>
      </c>
      <c r="S882" s="35"/>
    </row>
    <row r="883" spans="1:19" hidden="1" x14ac:dyDescent="0.25">
      <c r="A883" s="230"/>
      <c r="B883" s="230"/>
      <c r="C883" s="230"/>
      <c r="D883" s="230"/>
      <c r="E883" s="230"/>
      <c r="F883" s="221"/>
      <c r="G883" s="222"/>
      <c r="H883" s="221"/>
      <c r="I883" s="222"/>
      <c r="J883" s="230"/>
      <c r="K883" s="43"/>
      <c r="L883" s="241"/>
      <c r="M883" s="43" t="s">
        <v>1154</v>
      </c>
      <c r="N883" s="14">
        <v>250</v>
      </c>
      <c r="O883" s="14"/>
      <c r="P883" s="14"/>
      <c r="Q883" s="14"/>
      <c r="R883" s="146">
        <f t="shared" si="99"/>
        <v>0</v>
      </c>
      <c r="S883" s="35"/>
    </row>
    <row r="884" spans="1:19" x14ac:dyDescent="0.25">
      <c r="A884" s="230"/>
      <c r="B884" s="230"/>
      <c r="C884" s="230"/>
      <c r="D884" s="230"/>
      <c r="E884" s="230"/>
      <c r="F884" s="221"/>
      <c r="G884" s="222"/>
      <c r="H884" s="221"/>
      <c r="I884" s="222"/>
      <c r="J884" s="230"/>
      <c r="K884" s="43"/>
      <c r="L884" s="241"/>
      <c r="M884" s="43" t="s">
        <v>205</v>
      </c>
      <c r="N884" s="14">
        <v>250</v>
      </c>
      <c r="O884" s="14">
        <v>95</v>
      </c>
      <c r="P884" s="14"/>
      <c r="Q884" s="14"/>
      <c r="R884" s="146">
        <f t="shared" si="99"/>
        <v>95</v>
      </c>
      <c r="S884" s="2">
        <f t="shared" ref="S884:S886" si="101">R884/(N884*0.92)</f>
        <v>0.41304347826086957</v>
      </c>
    </row>
    <row r="885" spans="1:19" x14ac:dyDescent="0.25">
      <c r="A885" s="230"/>
      <c r="B885" s="230"/>
      <c r="C885" s="230"/>
      <c r="D885" s="230"/>
      <c r="E885" s="230"/>
      <c r="F885" s="221"/>
      <c r="G885" s="222"/>
      <c r="H885" s="221"/>
      <c r="I885" s="222"/>
      <c r="J885" s="230"/>
      <c r="K885" s="43"/>
      <c r="L885" s="241"/>
      <c r="M885" s="43" t="s">
        <v>388</v>
      </c>
      <c r="N885" s="1">
        <f>2*630</f>
        <v>1260</v>
      </c>
      <c r="O885" s="14">
        <v>93</v>
      </c>
      <c r="P885" s="14"/>
      <c r="Q885" s="14"/>
      <c r="R885" s="146">
        <f t="shared" si="99"/>
        <v>93</v>
      </c>
      <c r="S885" s="2">
        <f t="shared" si="101"/>
        <v>8.0227743271221535E-2</v>
      </c>
    </row>
    <row r="886" spans="1:19" x14ac:dyDescent="0.25">
      <c r="A886" s="230"/>
      <c r="B886" s="230"/>
      <c r="C886" s="230"/>
      <c r="D886" s="230"/>
      <c r="E886" s="230"/>
      <c r="F886" s="221"/>
      <c r="G886" s="222"/>
      <c r="H886" s="221"/>
      <c r="I886" s="222"/>
      <c r="J886" s="230"/>
      <c r="K886" s="43"/>
      <c r="L886" s="241"/>
      <c r="M886" s="43" t="s">
        <v>206</v>
      </c>
      <c r="N886" s="14">
        <v>250</v>
      </c>
      <c r="O886" s="14">
        <v>10</v>
      </c>
      <c r="P886" s="14"/>
      <c r="Q886" s="14"/>
      <c r="R886" s="146">
        <f t="shared" si="99"/>
        <v>10</v>
      </c>
      <c r="S886" s="2">
        <f t="shared" si="101"/>
        <v>4.3478260869565216E-2</v>
      </c>
    </row>
    <row r="887" spans="1:19" hidden="1" x14ac:dyDescent="0.25">
      <c r="A887" s="230"/>
      <c r="B887" s="230"/>
      <c r="C887" s="230"/>
      <c r="D887" s="230"/>
      <c r="E887" s="230"/>
      <c r="F887" s="221"/>
      <c r="G887" s="222"/>
      <c r="H887" s="221"/>
      <c r="I887" s="222"/>
      <c r="J887" s="230"/>
      <c r="K887" s="43"/>
      <c r="L887" s="241"/>
      <c r="M887" s="43" t="s">
        <v>1155</v>
      </c>
      <c r="N887" s="14">
        <v>400</v>
      </c>
      <c r="O887" s="14"/>
      <c r="P887" s="14"/>
      <c r="Q887" s="14"/>
      <c r="R887" s="146">
        <f t="shared" si="99"/>
        <v>0</v>
      </c>
      <c r="S887" s="35"/>
    </row>
    <row r="888" spans="1:19" hidden="1" x14ac:dyDescent="0.25">
      <c r="A888" s="230"/>
      <c r="B888" s="230"/>
      <c r="C888" s="230"/>
      <c r="D888" s="230"/>
      <c r="E888" s="230"/>
      <c r="F888" s="221"/>
      <c r="G888" s="222"/>
      <c r="H888" s="221"/>
      <c r="I888" s="222"/>
      <c r="J888" s="230"/>
      <c r="K888" s="43"/>
      <c r="L888" s="241"/>
      <c r="M888" s="43" t="s">
        <v>1156</v>
      </c>
      <c r="N888" s="14">
        <v>400</v>
      </c>
      <c r="O888" s="14"/>
      <c r="P888" s="14"/>
      <c r="Q888" s="14"/>
      <c r="R888" s="146">
        <f t="shared" si="99"/>
        <v>0</v>
      </c>
      <c r="S888" s="35"/>
    </row>
    <row r="889" spans="1:19" x14ac:dyDescent="0.25">
      <c r="A889" s="230"/>
      <c r="B889" s="230"/>
      <c r="C889" s="230"/>
      <c r="D889" s="230"/>
      <c r="E889" s="230"/>
      <c r="F889" s="221"/>
      <c r="G889" s="222"/>
      <c r="H889" s="221"/>
      <c r="I889" s="222"/>
      <c r="J889" s="230"/>
      <c r="K889" s="43"/>
      <c r="L889" s="241"/>
      <c r="M889" s="43" t="s">
        <v>1157</v>
      </c>
      <c r="N889" s="14">
        <v>250</v>
      </c>
      <c r="O889" s="14">
        <v>83</v>
      </c>
      <c r="P889" s="14"/>
      <c r="Q889" s="14">
        <f>10</f>
        <v>10</v>
      </c>
      <c r="R889" s="146">
        <f t="shared" si="99"/>
        <v>93</v>
      </c>
      <c r="S889" s="2">
        <f t="shared" ref="S889:S890" si="102">R889/(N889*0.92)</f>
        <v>0.40434782608695652</v>
      </c>
    </row>
    <row r="890" spans="1:19" x14ac:dyDescent="0.25">
      <c r="A890" s="231"/>
      <c r="B890" s="231"/>
      <c r="C890" s="231"/>
      <c r="D890" s="231"/>
      <c r="E890" s="231"/>
      <c r="F890" s="223"/>
      <c r="G890" s="224"/>
      <c r="H890" s="223"/>
      <c r="I890" s="224"/>
      <c r="J890" s="231"/>
      <c r="K890" s="43"/>
      <c r="L890" s="242"/>
      <c r="M890" s="43" t="s">
        <v>1158</v>
      </c>
      <c r="N890" s="14">
        <v>40</v>
      </c>
      <c r="O890" s="14">
        <v>19</v>
      </c>
      <c r="P890" s="14"/>
      <c r="Q890" s="14"/>
      <c r="R890" s="146">
        <f t="shared" si="99"/>
        <v>19</v>
      </c>
      <c r="S890" s="2">
        <f t="shared" si="102"/>
        <v>0.51630434782608692</v>
      </c>
    </row>
    <row r="891" spans="1:19" ht="15.75" hidden="1" customHeight="1" x14ac:dyDescent="0.25">
      <c r="A891" s="43"/>
      <c r="B891" s="225" t="s">
        <v>97</v>
      </c>
      <c r="C891" s="226"/>
      <c r="D891" s="226"/>
      <c r="E891" s="226"/>
      <c r="F891" s="226"/>
      <c r="G891" s="226"/>
      <c r="H891" s="226"/>
      <c r="I891" s="227"/>
      <c r="J891" s="153"/>
      <c r="K891" s="153"/>
      <c r="L891" s="153">
        <f>L802+L811+L824+L841+L845+L855+L874</f>
        <v>23.308510179434091</v>
      </c>
      <c r="M891" s="153"/>
      <c r="N891" s="154"/>
      <c r="O891" s="154"/>
      <c r="P891" s="154"/>
      <c r="Q891" s="154"/>
      <c r="R891" s="156">
        <f t="shared" si="99"/>
        <v>0</v>
      </c>
      <c r="S891" s="155"/>
    </row>
    <row r="892" spans="1:19" ht="15.75" customHeight="1" x14ac:dyDescent="0.25">
      <c r="A892" s="229">
        <v>34</v>
      </c>
      <c r="B892" s="229" t="s">
        <v>60</v>
      </c>
      <c r="C892" s="229" t="s">
        <v>98</v>
      </c>
      <c r="D892" s="229" t="s">
        <v>3</v>
      </c>
      <c r="E892" s="229"/>
      <c r="F892" s="219" t="s">
        <v>1159</v>
      </c>
      <c r="G892" s="220"/>
      <c r="H892" s="219" t="s">
        <v>709</v>
      </c>
      <c r="I892" s="220"/>
      <c r="J892" s="229"/>
      <c r="K892" s="43"/>
      <c r="L892" s="240">
        <f>SUM(S892:S894)</f>
        <v>0.32173913043478258</v>
      </c>
      <c r="M892" s="43" t="s">
        <v>1160</v>
      </c>
      <c r="N892" s="14">
        <v>250</v>
      </c>
      <c r="O892" s="14">
        <v>74</v>
      </c>
      <c r="P892" s="14"/>
      <c r="Q892" s="14"/>
      <c r="R892" s="146">
        <f t="shared" si="99"/>
        <v>74</v>
      </c>
      <c r="S892" s="2">
        <f>R892/(N892*0.92)</f>
        <v>0.32173913043478258</v>
      </c>
    </row>
    <row r="893" spans="1:19" hidden="1" x14ac:dyDescent="0.25">
      <c r="A893" s="231"/>
      <c r="B893" s="230"/>
      <c r="C893" s="230"/>
      <c r="D893" s="230"/>
      <c r="E893" s="230"/>
      <c r="F893" s="223"/>
      <c r="G893" s="224"/>
      <c r="H893" s="221"/>
      <c r="I893" s="222"/>
      <c r="J893" s="231"/>
      <c r="K893" s="43"/>
      <c r="L893" s="241"/>
      <c r="M893" s="43" t="s">
        <v>1161</v>
      </c>
      <c r="N893" s="14">
        <v>40</v>
      </c>
      <c r="O893" s="14"/>
      <c r="P893" s="14"/>
      <c r="Q893" s="14"/>
      <c r="R893" s="146">
        <f t="shared" si="99"/>
        <v>0</v>
      </c>
      <c r="S893" s="35"/>
    </row>
    <row r="894" spans="1:19" hidden="1" x14ac:dyDescent="0.25">
      <c r="A894" s="43">
        <v>35</v>
      </c>
      <c r="B894" s="230"/>
      <c r="C894" s="230"/>
      <c r="D894" s="230"/>
      <c r="E894" s="230"/>
      <c r="F894" s="270" t="s">
        <v>1162</v>
      </c>
      <c r="G894" s="271"/>
      <c r="H894" s="221"/>
      <c r="I894" s="222"/>
      <c r="J894" s="43"/>
      <c r="K894" s="43"/>
      <c r="L894" s="242"/>
      <c r="M894" s="43"/>
      <c r="N894" s="14"/>
      <c r="O894" s="14"/>
      <c r="P894" s="14"/>
      <c r="Q894" s="14"/>
      <c r="R894" s="146">
        <f t="shared" si="99"/>
        <v>0</v>
      </c>
      <c r="S894" s="35"/>
    </row>
    <row r="895" spans="1:19" x14ac:dyDescent="0.25">
      <c r="A895" s="229">
        <v>36</v>
      </c>
      <c r="B895" s="230"/>
      <c r="C895" s="230"/>
      <c r="D895" s="230"/>
      <c r="E895" s="230"/>
      <c r="F895" s="219" t="s">
        <v>1163</v>
      </c>
      <c r="G895" s="220"/>
      <c r="H895" s="221"/>
      <c r="I895" s="222"/>
      <c r="J895" s="229"/>
      <c r="K895" s="229"/>
      <c r="L895" s="240">
        <f>SUM(S895:S901)</f>
        <v>1.8094030365769496</v>
      </c>
      <c r="M895" s="43" t="s">
        <v>276</v>
      </c>
      <c r="N895" s="14">
        <v>160</v>
      </c>
      <c r="O895" s="14">
        <v>74</v>
      </c>
      <c r="P895" s="14"/>
      <c r="Q895" s="14"/>
      <c r="R895" s="146">
        <f t="shared" si="99"/>
        <v>74</v>
      </c>
      <c r="S895" s="2">
        <f t="shared" ref="S895:S900" si="103">R895/(N895*0.92)</f>
        <v>0.50271739130434778</v>
      </c>
    </row>
    <row r="896" spans="1:19" x14ac:dyDescent="0.25">
      <c r="A896" s="230"/>
      <c r="B896" s="230"/>
      <c r="C896" s="230"/>
      <c r="D896" s="230"/>
      <c r="E896" s="230"/>
      <c r="F896" s="221"/>
      <c r="G896" s="222"/>
      <c r="H896" s="221"/>
      <c r="I896" s="222"/>
      <c r="J896" s="230"/>
      <c r="K896" s="230"/>
      <c r="L896" s="241"/>
      <c r="M896" s="43" t="s">
        <v>277</v>
      </c>
      <c r="N896" s="14">
        <v>160</v>
      </c>
      <c r="O896" s="14">
        <v>78</v>
      </c>
      <c r="P896" s="14"/>
      <c r="Q896" s="14"/>
      <c r="R896" s="146">
        <f t="shared" si="99"/>
        <v>78</v>
      </c>
      <c r="S896" s="2">
        <f t="shared" si="103"/>
        <v>0.52989130434782605</v>
      </c>
    </row>
    <row r="897" spans="1:19" x14ac:dyDescent="0.25">
      <c r="A897" s="230"/>
      <c r="B897" s="230"/>
      <c r="C897" s="230"/>
      <c r="D897" s="230"/>
      <c r="E897" s="230"/>
      <c r="F897" s="221"/>
      <c r="G897" s="222"/>
      <c r="H897" s="221"/>
      <c r="I897" s="222"/>
      <c r="J897" s="230"/>
      <c r="K897" s="230"/>
      <c r="L897" s="241"/>
      <c r="M897" s="43" t="s">
        <v>288</v>
      </c>
      <c r="N897" s="14">
        <f>2*250</f>
        <v>500</v>
      </c>
      <c r="O897" s="14">
        <v>33</v>
      </c>
      <c r="P897" s="14"/>
      <c r="Q897" s="14"/>
      <c r="R897" s="146">
        <f t="shared" si="99"/>
        <v>33</v>
      </c>
      <c r="S897" s="2">
        <f t="shared" si="103"/>
        <v>7.1739130434782611E-2</v>
      </c>
    </row>
    <row r="898" spans="1:19" x14ac:dyDescent="0.25">
      <c r="A898" s="230"/>
      <c r="B898" s="230"/>
      <c r="C898" s="230"/>
      <c r="D898" s="230"/>
      <c r="E898" s="230"/>
      <c r="F898" s="221"/>
      <c r="G898" s="222"/>
      <c r="H898" s="221"/>
      <c r="I898" s="222"/>
      <c r="J898" s="230"/>
      <c r="K898" s="230"/>
      <c r="L898" s="241"/>
      <c r="M898" s="43" t="s">
        <v>278</v>
      </c>
      <c r="N898" s="14">
        <v>630</v>
      </c>
      <c r="O898" s="14">
        <v>59</v>
      </c>
      <c r="P898" s="14"/>
      <c r="Q898" s="14"/>
      <c r="R898" s="146">
        <f t="shared" si="99"/>
        <v>59</v>
      </c>
      <c r="S898" s="2">
        <f t="shared" si="103"/>
        <v>0.1017943409247757</v>
      </c>
    </row>
    <row r="899" spans="1:19" x14ac:dyDescent="0.25">
      <c r="A899" s="230"/>
      <c r="B899" s="230"/>
      <c r="C899" s="230"/>
      <c r="D899" s="230"/>
      <c r="E899" s="230"/>
      <c r="F899" s="221"/>
      <c r="G899" s="222"/>
      <c r="H899" s="221"/>
      <c r="I899" s="222"/>
      <c r="J899" s="230"/>
      <c r="K899" s="230"/>
      <c r="L899" s="241"/>
      <c r="M899" s="43" t="s">
        <v>283</v>
      </c>
      <c r="N899" s="86">
        <f>2*400</f>
        <v>800</v>
      </c>
      <c r="O899" s="14">
        <v>101</v>
      </c>
      <c r="P899" s="14"/>
      <c r="Q899" s="14">
        <f>3+30</f>
        <v>33</v>
      </c>
      <c r="R899" s="146">
        <f t="shared" si="99"/>
        <v>134</v>
      </c>
      <c r="S899" s="2">
        <f t="shared" si="103"/>
        <v>0.18206521739130435</v>
      </c>
    </row>
    <row r="900" spans="1:19" x14ac:dyDescent="0.25">
      <c r="A900" s="231"/>
      <c r="B900" s="230"/>
      <c r="C900" s="230"/>
      <c r="D900" s="230"/>
      <c r="E900" s="230"/>
      <c r="F900" s="223"/>
      <c r="G900" s="224"/>
      <c r="H900" s="221"/>
      <c r="I900" s="222"/>
      <c r="J900" s="231"/>
      <c r="K900" s="231"/>
      <c r="L900" s="242"/>
      <c r="M900" s="43" t="s">
        <v>284</v>
      </c>
      <c r="N900" s="14">
        <v>160</v>
      </c>
      <c r="O900" s="14">
        <v>62</v>
      </c>
      <c r="P900" s="14"/>
      <c r="Q900" s="14"/>
      <c r="R900" s="146">
        <f t="shared" si="99"/>
        <v>62</v>
      </c>
      <c r="S900" s="2">
        <f t="shared" si="103"/>
        <v>0.42119565217391297</v>
      </c>
    </row>
    <row r="901" spans="1:19" ht="15.75" hidden="1" customHeight="1" x14ac:dyDescent="0.25">
      <c r="A901" s="43">
        <v>37</v>
      </c>
      <c r="B901" s="230"/>
      <c r="C901" s="230"/>
      <c r="D901" s="230"/>
      <c r="E901" s="230"/>
      <c r="F901" s="270" t="s">
        <v>1164</v>
      </c>
      <c r="G901" s="271"/>
      <c r="H901" s="221"/>
      <c r="I901" s="222"/>
      <c r="J901" s="37"/>
      <c r="K901" s="43"/>
      <c r="L901" s="43">
        <v>0</v>
      </c>
      <c r="M901" s="43"/>
      <c r="N901" s="14"/>
      <c r="O901" s="14"/>
      <c r="P901" s="14"/>
      <c r="Q901" s="14"/>
      <c r="R901" s="146">
        <f t="shared" si="99"/>
        <v>0</v>
      </c>
      <c r="S901" s="35"/>
    </row>
    <row r="902" spans="1:19" x14ac:dyDescent="0.25">
      <c r="A902" s="229">
        <v>38</v>
      </c>
      <c r="B902" s="230"/>
      <c r="C902" s="230"/>
      <c r="D902" s="230"/>
      <c r="E902" s="230"/>
      <c r="F902" s="219" t="s">
        <v>1165</v>
      </c>
      <c r="G902" s="220"/>
      <c r="H902" s="221"/>
      <c r="I902" s="222"/>
      <c r="J902" s="229"/>
      <c r="K902" s="37"/>
      <c r="L902" s="240">
        <f>SUM(S902:S907)</f>
        <v>1.1464673913043477</v>
      </c>
      <c r="M902" s="43" t="s">
        <v>289</v>
      </c>
      <c r="N902" s="14">
        <f>2*250</f>
        <v>500</v>
      </c>
      <c r="O902" s="14">
        <v>33</v>
      </c>
      <c r="P902" s="14"/>
      <c r="Q902" s="14"/>
      <c r="R902" s="146">
        <f t="shared" si="99"/>
        <v>33</v>
      </c>
      <c r="S902" s="2">
        <f t="shared" ref="S902:S907" si="104">R902/(N902*0.92)</f>
        <v>7.1739130434782611E-2</v>
      </c>
    </row>
    <row r="903" spans="1:19" x14ac:dyDescent="0.25">
      <c r="A903" s="230"/>
      <c r="B903" s="230"/>
      <c r="C903" s="230"/>
      <c r="D903" s="230"/>
      <c r="E903" s="230"/>
      <c r="F903" s="221"/>
      <c r="G903" s="222"/>
      <c r="H903" s="221"/>
      <c r="I903" s="222"/>
      <c r="J903" s="230"/>
      <c r="K903" s="37"/>
      <c r="L903" s="241"/>
      <c r="M903" s="43" t="s">
        <v>279</v>
      </c>
      <c r="N903" s="14">
        <v>400</v>
      </c>
      <c r="O903" s="14">
        <v>46</v>
      </c>
      <c r="P903" s="14"/>
      <c r="Q903" s="14">
        <f>11</f>
        <v>11</v>
      </c>
      <c r="R903" s="146">
        <f t="shared" si="99"/>
        <v>57</v>
      </c>
      <c r="S903" s="2">
        <f t="shared" si="104"/>
        <v>0.15489130434782608</v>
      </c>
    </row>
    <row r="904" spans="1:19" x14ac:dyDescent="0.25">
      <c r="A904" s="230"/>
      <c r="B904" s="230"/>
      <c r="C904" s="230"/>
      <c r="D904" s="230"/>
      <c r="E904" s="230"/>
      <c r="F904" s="221"/>
      <c r="G904" s="222"/>
      <c r="H904" s="221"/>
      <c r="I904" s="222"/>
      <c r="J904" s="230"/>
      <c r="K904" s="37"/>
      <c r="L904" s="241"/>
      <c r="M904" s="43" t="s">
        <v>280</v>
      </c>
      <c r="N904" s="14">
        <v>250</v>
      </c>
      <c r="O904" s="14">
        <v>38</v>
      </c>
      <c r="P904" s="14"/>
      <c r="Q904" s="14"/>
      <c r="R904" s="146">
        <f t="shared" si="99"/>
        <v>38</v>
      </c>
      <c r="S904" s="2">
        <f t="shared" si="104"/>
        <v>0.16521739130434782</v>
      </c>
    </row>
    <row r="905" spans="1:19" x14ac:dyDescent="0.25">
      <c r="A905" s="230"/>
      <c r="B905" s="230"/>
      <c r="C905" s="230"/>
      <c r="D905" s="230"/>
      <c r="E905" s="230"/>
      <c r="F905" s="221"/>
      <c r="G905" s="222"/>
      <c r="H905" s="221"/>
      <c r="I905" s="222"/>
      <c r="J905" s="230"/>
      <c r="K905" s="37"/>
      <c r="L905" s="241"/>
      <c r="M905" s="43" t="s">
        <v>281</v>
      </c>
      <c r="N905" s="14">
        <v>250</v>
      </c>
      <c r="O905" s="14">
        <v>74</v>
      </c>
      <c r="P905" s="14"/>
      <c r="Q905" s="14"/>
      <c r="R905" s="146">
        <f t="shared" si="99"/>
        <v>74</v>
      </c>
      <c r="S905" s="2">
        <f t="shared" si="104"/>
        <v>0.32173913043478258</v>
      </c>
    </row>
    <row r="906" spans="1:19" x14ac:dyDescent="0.25">
      <c r="A906" s="230"/>
      <c r="B906" s="230"/>
      <c r="C906" s="230"/>
      <c r="D906" s="230"/>
      <c r="E906" s="230"/>
      <c r="F906" s="221"/>
      <c r="G906" s="222"/>
      <c r="H906" s="221"/>
      <c r="I906" s="222"/>
      <c r="J906" s="230"/>
      <c r="K906" s="37"/>
      <c r="L906" s="241"/>
      <c r="M906" s="43" t="s">
        <v>282</v>
      </c>
      <c r="N906" s="14">
        <f>2*250</f>
        <v>500</v>
      </c>
      <c r="O906" s="14">
        <v>136</v>
      </c>
      <c r="P906" s="14"/>
      <c r="Q906" s="14"/>
      <c r="R906" s="146">
        <f t="shared" si="99"/>
        <v>136</v>
      </c>
      <c r="S906" s="2">
        <f t="shared" si="104"/>
        <v>0.29565217391304349</v>
      </c>
    </row>
    <row r="907" spans="1:19" ht="16.5" thickBot="1" x14ac:dyDescent="0.3">
      <c r="A907" s="231"/>
      <c r="B907" s="230"/>
      <c r="C907" s="230"/>
      <c r="D907" s="230"/>
      <c r="E907" s="230"/>
      <c r="F907" s="223"/>
      <c r="G907" s="224"/>
      <c r="H907" s="221"/>
      <c r="I907" s="222"/>
      <c r="J907" s="231"/>
      <c r="K907" s="37"/>
      <c r="L907" s="242"/>
      <c r="M907" s="43" t="s">
        <v>283</v>
      </c>
      <c r="N907" s="86">
        <f>2*400</f>
        <v>800</v>
      </c>
      <c r="O907" s="14">
        <v>101</v>
      </c>
      <c r="P907" s="14"/>
      <c r="Q907" s="14"/>
      <c r="R907" s="146">
        <f t="shared" si="99"/>
        <v>101</v>
      </c>
      <c r="S907" s="2">
        <f t="shared" si="104"/>
        <v>0.13722826086956522</v>
      </c>
    </row>
    <row r="908" spans="1:19" ht="15.75" hidden="1" customHeight="1" x14ac:dyDescent="0.25">
      <c r="A908" s="43">
        <v>39</v>
      </c>
      <c r="B908" s="231"/>
      <c r="C908" s="231"/>
      <c r="D908" s="231"/>
      <c r="E908" s="231"/>
      <c r="F908" s="270" t="s">
        <v>1166</v>
      </c>
      <c r="G908" s="271"/>
      <c r="H908" s="223"/>
      <c r="I908" s="224"/>
      <c r="J908" s="37"/>
      <c r="K908" s="37"/>
      <c r="L908" s="43">
        <v>0</v>
      </c>
      <c r="M908" s="43"/>
      <c r="N908" s="14"/>
      <c r="O908" s="14"/>
      <c r="P908" s="14"/>
      <c r="Q908" s="14"/>
      <c r="R908" s="146">
        <f t="shared" si="99"/>
        <v>0</v>
      </c>
      <c r="S908" s="14"/>
    </row>
    <row r="909" spans="1:19" ht="15.75" hidden="1" customHeight="1" x14ac:dyDescent="0.25">
      <c r="A909" s="43"/>
      <c r="B909" s="225" t="s">
        <v>99</v>
      </c>
      <c r="C909" s="226"/>
      <c r="D909" s="226"/>
      <c r="E909" s="226"/>
      <c r="F909" s="226"/>
      <c r="G909" s="226"/>
      <c r="H909" s="226"/>
      <c r="I909" s="227"/>
      <c r="J909" s="153">
        <f>J895+J902</f>
        <v>0</v>
      </c>
      <c r="K909" s="153"/>
      <c r="L909" s="153">
        <f>L895+L902+L908+L901</f>
        <v>2.9558704278812975</v>
      </c>
      <c r="M909" s="153"/>
      <c r="N909" s="154"/>
      <c r="O909" s="154"/>
      <c r="P909" s="154"/>
      <c r="Q909" s="154"/>
      <c r="R909" s="156">
        <f t="shared" si="99"/>
        <v>0</v>
      </c>
      <c r="S909" s="154"/>
    </row>
    <row r="910" spans="1:19" ht="15.75" customHeight="1" x14ac:dyDescent="0.25">
      <c r="A910" s="229">
        <v>40</v>
      </c>
      <c r="B910" s="229" t="s">
        <v>60</v>
      </c>
      <c r="C910" s="229" t="s">
        <v>102</v>
      </c>
      <c r="D910" s="229" t="s">
        <v>101</v>
      </c>
      <c r="E910" s="229"/>
      <c r="F910" s="219" t="s">
        <v>8</v>
      </c>
      <c r="G910" s="220"/>
      <c r="H910" s="219" t="s">
        <v>709</v>
      </c>
      <c r="I910" s="220"/>
      <c r="J910" s="229"/>
      <c r="K910" s="43"/>
      <c r="L910" s="240">
        <f>SUM(S910:S923)</f>
        <v>2.5589360766834144</v>
      </c>
      <c r="M910" s="38" t="s">
        <v>432</v>
      </c>
      <c r="N910" s="3">
        <f t="shared" ref="N910:N911" si="105">2*630</f>
        <v>1260</v>
      </c>
      <c r="O910" s="35">
        <v>259.98082621608802</v>
      </c>
      <c r="P910" s="35"/>
      <c r="Q910" s="35"/>
      <c r="R910" s="146">
        <f t="shared" si="99"/>
        <v>259.98082621608802</v>
      </c>
      <c r="S910" s="2">
        <f t="shared" ref="S910:S973" si="106">R910/(N910*0.92)</f>
        <v>0.22427607506563838</v>
      </c>
    </row>
    <row r="911" spans="1:19" ht="31.5" x14ac:dyDescent="0.25">
      <c r="A911" s="230"/>
      <c r="B911" s="230"/>
      <c r="C911" s="230"/>
      <c r="D911" s="230"/>
      <c r="E911" s="230"/>
      <c r="F911" s="221"/>
      <c r="G911" s="222"/>
      <c r="H911" s="221"/>
      <c r="I911" s="222"/>
      <c r="J911" s="230"/>
      <c r="K911" s="43"/>
      <c r="L911" s="241"/>
      <c r="M911" s="43" t="s">
        <v>463</v>
      </c>
      <c r="N911" s="3">
        <f t="shared" si="105"/>
        <v>1260</v>
      </c>
      <c r="O911" s="35">
        <v>39.490758412570401</v>
      </c>
      <c r="P911" s="35"/>
      <c r="Q911" s="35"/>
      <c r="R911" s="146">
        <f t="shared" si="99"/>
        <v>39.490758412570401</v>
      </c>
      <c r="S911" s="2">
        <f t="shared" si="106"/>
        <v>3.4067251908704625E-2</v>
      </c>
    </row>
    <row r="912" spans="1:19" ht="31.5" x14ac:dyDescent="0.25">
      <c r="A912" s="230"/>
      <c r="B912" s="230"/>
      <c r="C912" s="230"/>
      <c r="D912" s="230"/>
      <c r="E912" s="230"/>
      <c r="F912" s="221"/>
      <c r="G912" s="222"/>
      <c r="H912" s="221"/>
      <c r="I912" s="222"/>
      <c r="J912" s="230"/>
      <c r="K912" s="43"/>
      <c r="L912" s="241"/>
      <c r="M912" s="43" t="s">
        <v>469</v>
      </c>
      <c r="N912" s="3">
        <f t="shared" ref="N912:N914" si="107">2*400</f>
        <v>800</v>
      </c>
      <c r="O912" s="35">
        <v>204.69376443849001</v>
      </c>
      <c r="P912" s="35"/>
      <c r="Q912" s="35"/>
      <c r="R912" s="146">
        <f t="shared" si="99"/>
        <v>204.69376443849001</v>
      </c>
      <c r="S912" s="2">
        <f t="shared" si="106"/>
        <v>0.27811652776968748</v>
      </c>
    </row>
    <row r="913" spans="1:19" ht="31.5" x14ac:dyDescent="0.25">
      <c r="A913" s="230"/>
      <c r="B913" s="230"/>
      <c r="C913" s="230"/>
      <c r="D913" s="230"/>
      <c r="E913" s="230"/>
      <c r="F913" s="221"/>
      <c r="G913" s="222"/>
      <c r="H913" s="221"/>
      <c r="I913" s="222"/>
      <c r="J913" s="230"/>
      <c r="K913" s="43"/>
      <c r="L913" s="241"/>
      <c r="M913" s="43" t="s">
        <v>528</v>
      </c>
      <c r="N913" s="3">
        <f t="shared" si="107"/>
        <v>800</v>
      </c>
      <c r="O913" s="35">
        <v>106.62504771394001</v>
      </c>
      <c r="P913" s="35"/>
      <c r="Q913" s="35"/>
      <c r="R913" s="146">
        <f t="shared" si="99"/>
        <v>106.62504771394001</v>
      </c>
      <c r="S913" s="2">
        <f t="shared" si="106"/>
        <v>0.14487098874176632</v>
      </c>
    </row>
    <row r="914" spans="1:19" ht="31.5" x14ac:dyDescent="0.25">
      <c r="A914" s="230"/>
      <c r="B914" s="230"/>
      <c r="C914" s="230"/>
      <c r="D914" s="230"/>
      <c r="E914" s="230"/>
      <c r="F914" s="221"/>
      <c r="G914" s="222"/>
      <c r="H914" s="221"/>
      <c r="I914" s="222"/>
      <c r="J914" s="230"/>
      <c r="K914" s="43"/>
      <c r="L914" s="241"/>
      <c r="M914" s="43" t="s">
        <v>484</v>
      </c>
      <c r="N914" s="3">
        <f t="shared" si="107"/>
        <v>800</v>
      </c>
      <c r="O914" s="35">
        <v>124.39588899959701</v>
      </c>
      <c r="P914" s="35"/>
      <c r="Q914" s="35"/>
      <c r="R914" s="146">
        <f t="shared" si="99"/>
        <v>124.39588899959701</v>
      </c>
      <c r="S914" s="2">
        <f t="shared" si="106"/>
        <v>0.16901615353206115</v>
      </c>
    </row>
    <row r="915" spans="1:19" ht="31.5" x14ac:dyDescent="0.25">
      <c r="A915" s="230"/>
      <c r="B915" s="230"/>
      <c r="C915" s="230"/>
      <c r="D915" s="230"/>
      <c r="E915" s="230"/>
      <c r="F915" s="221"/>
      <c r="G915" s="222"/>
      <c r="H915" s="221"/>
      <c r="I915" s="222"/>
      <c r="J915" s="230"/>
      <c r="K915" s="43"/>
      <c r="L915" s="241"/>
      <c r="M915" s="43" t="s">
        <v>455</v>
      </c>
      <c r="N915" s="3">
        <f t="shared" ref="N915:N916" si="108">2*630</f>
        <v>1260</v>
      </c>
      <c r="O915" s="35">
        <v>217.857350576013</v>
      </c>
      <c r="P915" s="35"/>
      <c r="Q915" s="35"/>
      <c r="R915" s="146">
        <f t="shared" si="99"/>
        <v>217.857350576013</v>
      </c>
      <c r="S915" s="2">
        <f t="shared" si="106"/>
        <v>0.18793767302968684</v>
      </c>
    </row>
    <row r="916" spans="1:19" x14ac:dyDescent="0.25">
      <c r="A916" s="230"/>
      <c r="B916" s="230"/>
      <c r="C916" s="230"/>
      <c r="D916" s="230"/>
      <c r="E916" s="230"/>
      <c r="F916" s="221"/>
      <c r="G916" s="222"/>
      <c r="H916" s="221"/>
      <c r="I916" s="222"/>
      <c r="J916" s="230"/>
      <c r="K916" s="43"/>
      <c r="L916" s="241"/>
      <c r="M916" s="43" t="s">
        <v>1167</v>
      </c>
      <c r="N916" s="3">
        <f t="shared" si="108"/>
        <v>1260</v>
      </c>
      <c r="O916" s="35">
        <v>114.523199396454</v>
      </c>
      <c r="P916" s="35"/>
      <c r="Q916" s="35"/>
      <c r="R916" s="146">
        <f t="shared" si="99"/>
        <v>114.523199396454</v>
      </c>
      <c r="S916" s="2">
        <f t="shared" si="106"/>
        <v>9.8795030535243272E-2</v>
      </c>
    </row>
    <row r="917" spans="1:19" x14ac:dyDescent="0.25">
      <c r="A917" s="230"/>
      <c r="B917" s="230"/>
      <c r="C917" s="230"/>
      <c r="D917" s="230"/>
      <c r="E917" s="230"/>
      <c r="F917" s="221"/>
      <c r="G917" s="222"/>
      <c r="H917" s="221"/>
      <c r="I917" s="222"/>
      <c r="J917" s="230"/>
      <c r="K917" s="43"/>
      <c r="L917" s="241"/>
      <c r="M917" s="43" t="s">
        <v>1168</v>
      </c>
      <c r="N917" s="3">
        <f>2*400</f>
        <v>800</v>
      </c>
      <c r="O917" s="35">
        <v>149.406702660891</v>
      </c>
      <c r="P917" s="35"/>
      <c r="Q917" s="35"/>
      <c r="R917" s="146">
        <f t="shared" si="99"/>
        <v>149.406702660891</v>
      </c>
      <c r="S917" s="2">
        <f t="shared" si="106"/>
        <v>0.2029982373109932</v>
      </c>
    </row>
    <row r="918" spans="1:19" x14ac:dyDescent="0.25">
      <c r="A918" s="230"/>
      <c r="B918" s="230"/>
      <c r="C918" s="230"/>
      <c r="D918" s="230"/>
      <c r="E918" s="230"/>
      <c r="F918" s="221"/>
      <c r="G918" s="222"/>
      <c r="H918" s="221"/>
      <c r="I918" s="222"/>
      <c r="J918" s="230"/>
      <c r="K918" s="43"/>
      <c r="L918" s="241"/>
      <c r="M918" s="43" t="s">
        <v>1169</v>
      </c>
      <c r="N918" s="3">
        <f>2*630</f>
        <v>1260</v>
      </c>
      <c r="O918" s="35">
        <v>278.40984680862101</v>
      </c>
      <c r="P918" s="35"/>
      <c r="Q918" s="35"/>
      <c r="R918" s="146">
        <f t="shared" si="99"/>
        <v>278.40984680862101</v>
      </c>
      <c r="S918" s="2">
        <f t="shared" si="106"/>
        <v>0.24017412595636733</v>
      </c>
    </row>
    <row r="919" spans="1:19" x14ac:dyDescent="0.25">
      <c r="A919" s="230"/>
      <c r="B919" s="230"/>
      <c r="C919" s="230"/>
      <c r="D919" s="230"/>
      <c r="E919" s="230"/>
      <c r="F919" s="221"/>
      <c r="G919" s="222"/>
      <c r="H919" s="221"/>
      <c r="I919" s="222"/>
      <c r="J919" s="230"/>
      <c r="K919" s="43"/>
      <c r="L919" s="241"/>
      <c r="M919" s="43" t="s">
        <v>1170</v>
      </c>
      <c r="N919" s="14">
        <f t="shared" ref="N919:N920" si="109">2*250</f>
        <v>500</v>
      </c>
      <c r="O919" s="35">
        <v>55.945241084474702</v>
      </c>
      <c r="P919" s="35"/>
      <c r="Q919" s="35"/>
      <c r="R919" s="146">
        <f t="shared" si="99"/>
        <v>55.945241084474702</v>
      </c>
      <c r="S919" s="2">
        <f t="shared" si="106"/>
        <v>0.12162008931407543</v>
      </c>
    </row>
    <row r="920" spans="1:19" x14ac:dyDescent="0.25">
      <c r="A920" s="230"/>
      <c r="B920" s="230"/>
      <c r="C920" s="230"/>
      <c r="D920" s="230"/>
      <c r="E920" s="230"/>
      <c r="F920" s="221"/>
      <c r="G920" s="222"/>
      <c r="H920" s="221"/>
      <c r="I920" s="222"/>
      <c r="J920" s="230"/>
      <c r="K920" s="43"/>
      <c r="L920" s="241"/>
      <c r="M920" s="43" t="s">
        <v>1171</v>
      </c>
      <c r="N920" s="14">
        <f t="shared" si="109"/>
        <v>500</v>
      </c>
      <c r="O920" s="35">
        <v>121.104992465216</v>
      </c>
      <c r="P920" s="35"/>
      <c r="Q920" s="35"/>
      <c r="R920" s="146">
        <f t="shared" si="99"/>
        <v>121.104992465216</v>
      </c>
      <c r="S920" s="2">
        <f t="shared" si="106"/>
        <v>0.26327172275046956</v>
      </c>
    </row>
    <row r="921" spans="1:19" x14ac:dyDescent="0.25">
      <c r="A921" s="230"/>
      <c r="B921" s="230"/>
      <c r="C921" s="230"/>
      <c r="D921" s="230"/>
      <c r="E921" s="230"/>
      <c r="F921" s="221"/>
      <c r="G921" s="222"/>
      <c r="H921" s="221"/>
      <c r="I921" s="222"/>
      <c r="J921" s="230"/>
      <c r="K921" s="43"/>
      <c r="L921" s="241"/>
      <c r="M921" s="43" t="s">
        <v>1172</v>
      </c>
      <c r="N921" s="14">
        <f>2*100</f>
        <v>200</v>
      </c>
      <c r="O921" s="35">
        <v>55.287061777598602</v>
      </c>
      <c r="P921" s="35"/>
      <c r="Q921" s="35"/>
      <c r="R921" s="146">
        <f t="shared" si="99"/>
        <v>55.287061777598602</v>
      </c>
      <c r="S921" s="2">
        <f t="shared" si="106"/>
        <v>0.30047316183477502</v>
      </c>
    </row>
    <row r="922" spans="1:19" ht="31.5" x14ac:dyDescent="0.25">
      <c r="A922" s="230"/>
      <c r="B922" s="230"/>
      <c r="C922" s="230"/>
      <c r="D922" s="230"/>
      <c r="E922" s="230"/>
      <c r="F922" s="221"/>
      <c r="G922" s="222"/>
      <c r="H922" s="221"/>
      <c r="I922" s="222"/>
      <c r="J922" s="230"/>
      <c r="K922" s="43"/>
      <c r="L922" s="241"/>
      <c r="M922" s="43" t="s">
        <v>456</v>
      </c>
      <c r="N922" s="3">
        <f t="shared" ref="N922:N925" si="110">2*400</f>
        <v>800</v>
      </c>
      <c r="O922" s="35">
        <v>111.89048216894901</v>
      </c>
      <c r="P922" s="35"/>
      <c r="Q922" s="35"/>
      <c r="R922" s="146">
        <f t="shared" si="99"/>
        <v>111.89048216894901</v>
      </c>
      <c r="S922" s="2">
        <f t="shared" si="106"/>
        <v>0.15202511164259375</v>
      </c>
    </row>
    <row r="923" spans="1:19" ht="32.25" thickBot="1" x14ac:dyDescent="0.3">
      <c r="A923" s="231"/>
      <c r="B923" s="230"/>
      <c r="C923" s="230"/>
      <c r="D923" s="230"/>
      <c r="E923" s="230"/>
      <c r="F923" s="223"/>
      <c r="G923" s="224"/>
      <c r="H923" s="221"/>
      <c r="I923" s="222"/>
      <c r="J923" s="231"/>
      <c r="K923" s="43"/>
      <c r="L923" s="242"/>
      <c r="M923" s="49" t="s">
        <v>457</v>
      </c>
      <c r="N923" s="3">
        <f t="shared" si="110"/>
        <v>800</v>
      </c>
      <c r="O923" s="35">
        <v>103.99233048643499</v>
      </c>
      <c r="P923" s="35"/>
      <c r="Q923" s="35"/>
      <c r="R923" s="146">
        <f t="shared" si="99"/>
        <v>103.99233048643499</v>
      </c>
      <c r="S923" s="2">
        <f t="shared" si="106"/>
        <v>0.1412939272913519</v>
      </c>
    </row>
    <row r="924" spans="1:19" ht="31.5" x14ac:dyDescent="0.25">
      <c r="A924" s="229">
        <v>41</v>
      </c>
      <c r="B924" s="230"/>
      <c r="C924" s="230"/>
      <c r="D924" s="230"/>
      <c r="E924" s="230"/>
      <c r="F924" s="219" t="s">
        <v>9</v>
      </c>
      <c r="G924" s="220"/>
      <c r="H924" s="221"/>
      <c r="I924" s="222"/>
      <c r="J924" s="238"/>
      <c r="K924" s="43"/>
      <c r="L924" s="240">
        <f>SUM(S924:S949)</f>
        <v>5.5355748833575724</v>
      </c>
      <c r="M924" s="38" t="s">
        <v>458</v>
      </c>
      <c r="N924" s="3">
        <f t="shared" si="110"/>
        <v>800</v>
      </c>
      <c r="O924" s="35">
        <v>124.39588899959701</v>
      </c>
      <c r="P924" s="35"/>
      <c r="Q924" s="35"/>
      <c r="R924" s="146">
        <f t="shared" si="99"/>
        <v>124.39588899959701</v>
      </c>
      <c r="S924" s="2">
        <f t="shared" si="106"/>
        <v>0.16901615353206115</v>
      </c>
    </row>
    <row r="925" spans="1:19" ht="31.5" x14ac:dyDescent="0.25">
      <c r="A925" s="230"/>
      <c r="B925" s="230"/>
      <c r="C925" s="230"/>
      <c r="D925" s="230"/>
      <c r="E925" s="230"/>
      <c r="F925" s="221"/>
      <c r="G925" s="222"/>
      <c r="H925" s="221"/>
      <c r="I925" s="222"/>
      <c r="J925" s="243"/>
      <c r="K925" s="43"/>
      <c r="L925" s="241"/>
      <c r="M925" s="43" t="s">
        <v>459</v>
      </c>
      <c r="N925" s="3">
        <f t="shared" si="110"/>
        <v>800</v>
      </c>
      <c r="O925" s="35">
        <v>103.99233048643499</v>
      </c>
      <c r="P925" s="35"/>
      <c r="Q925" s="35"/>
      <c r="R925" s="146">
        <f t="shared" si="99"/>
        <v>103.99233048643499</v>
      </c>
      <c r="S925" s="2">
        <f t="shared" si="106"/>
        <v>0.1412939272913519</v>
      </c>
    </row>
    <row r="926" spans="1:19" ht="31.5" x14ac:dyDescent="0.25">
      <c r="A926" s="230"/>
      <c r="B926" s="230"/>
      <c r="C926" s="230"/>
      <c r="D926" s="230"/>
      <c r="E926" s="230"/>
      <c r="F926" s="221"/>
      <c r="G926" s="222"/>
      <c r="H926" s="221"/>
      <c r="I926" s="222"/>
      <c r="J926" s="243"/>
      <c r="K926" s="43"/>
      <c r="L926" s="241"/>
      <c r="M926" s="43" t="s">
        <v>464</v>
      </c>
      <c r="N926" s="3">
        <f>2*630</f>
        <v>1260</v>
      </c>
      <c r="O926" s="35">
        <v>317.900605221192</v>
      </c>
      <c r="P926" s="35"/>
      <c r="Q926" s="35"/>
      <c r="R926" s="146">
        <f t="shared" si="99"/>
        <v>317.900605221192</v>
      </c>
      <c r="S926" s="2">
        <f t="shared" si="106"/>
        <v>0.27424137786507247</v>
      </c>
    </row>
    <row r="927" spans="1:19" ht="31.5" x14ac:dyDescent="0.25">
      <c r="A927" s="230"/>
      <c r="B927" s="230"/>
      <c r="C927" s="230"/>
      <c r="D927" s="230"/>
      <c r="E927" s="230"/>
      <c r="F927" s="221"/>
      <c r="G927" s="222"/>
      <c r="H927" s="221"/>
      <c r="I927" s="222"/>
      <c r="J927" s="243"/>
      <c r="K927" s="43"/>
      <c r="L927" s="241"/>
      <c r="M927" s="43" t="s">
        <v>470</v>
      </c>
      <c r="N927" s="3">
        <f t="shared" ref="N927:N928" si="111">2*400</f>
        <v>800</v>
      </c>
      <c r="O927" s="35">
        <v>204.035585131614</v>
      </c>
      <c r="P927" s="35"/>
      <c r="Q927" s="35"/>
      <c r="R927" s="146">
        <f t="shared" si="99"/>
        <v>204.035585131614</v>
      </c>
      <c r="S927" s="2">
        <f t="shared" si="106"/>
        <v>0.27722226240708425</v>
      </c>
    </row>
    <row r="928" spans="1:19" ht="31.5" x14ac:dyDescent="0.25">
      <c r="A928" s="230"/>
      <c r="B928" s="230"/>
      <c r="C928" s="230"/>
      <c r="D928" s="230"/>
      <c r="E928" s="230"/>
      <c r="F928" s="221"/>
      <c r="G928" s="222"/>
      <c r="H928" s="221"/>
      <c r="I928" s="222"/>
      <c r="J928" s="243"/>
      <c r="K928" s="43"/>
      <c r="L928" s="241"/>
      <c r="M928" s="43" t="s">
        <v>527</v>
      </c>
      <c r="N928" s="3">
        <f t="shared" si="111"/>
        <v>800</v>
      </c>
      <c r="O928" s="35">
        <v>106.62504771394001</v>
      </c>
      <c r="P928" s="35"/>
      <c r="Q928" s="35"/>
      <c r="R928" s="146">
        <f t="shared" ref="R928:R991" si="112">O928+P928+Q928</f>
        <v>106.62504771394001</v>
      </c>
      <c r="S928" s="2">
        <f t="shared" si="106"/>
        <v>0.14487098874176632</v>
      </c>
    </row>
    <row r="929" spans="1:19" ht="31.5" x14ac:dyDescent="0.25">
      <c r="A929" s="230"/>
      <c r="B929" s="230"/>
      <c r="C929" s="230"/>
      <c r="D929" s="230"/>
      <c r="E929" s="230"/>
      <c r="F929" s="221"/>
      <c r="G929" s="222"/>
      <c r="H929" s="221"/>
      <c r="I929" s="222"/>
      <c r="J929" s="243"/>
      <c r="K929" s="43"/>
      <c r="L929" s="241"/>
      <c r="M929" s="43" t="s">
        <v>525</v>
      </c>
      <c r="N929" s="3">
        <f>2*250</f>
        <v>500</v>
      </c>
      <c r="O929" s="35">
        <v>113.206840782702</v>
      </c>
      <c r="P929" s="35"/>
      <c r="Q929" s="35"/>
      <c r="R929" s="146">
        <f t="shared" si="112"/>
        <v>113.206840782702</v>
      </c>
      <c r="S929" s="2">
        <f t="shared" si="106"/>
        <v>0.24610182778848261</v>
      </c>
    </row>
    <row r="930" spans="1:19" ht="31.5" x14ac:dyDescent="0.25">
      <c r="A930" s="230"/>
      <c r="B930" s="230"/>
      <c r="C930" s="230"/>
      <c r="D930" s="230"/>
      <c r="E930" s="230"/>
      <c r="F930" s="221"/>
      <c r="G930" s="222"/>
      <c r="H930" s="221"/>
      <c r="I930" s="222"/>
      <c r="J930" s="243"/>
      <c r="K930" s="43"/>
      <c r="L930" s="241"/>
      <c r="M930" s="43" t="s">
        <v>483</v>
      </c>
      <c r="N930" s="3">
        <f>2*400</f>
        <v>800</v>
      </c>
      <c r="O930" s="35">
        <v>109.915944248321</v>
      </c>
      <c r="P930" s="35"/>
      <c r="Q930" s="35"/>
      <c r="R930" s="146">
        <f t="shared" si="112"/>
        <v>109.915944248321</v>
      </c>
      <c r="S930" s="2">
        <f t="shared" si="106"/>
        <v>0.14934231555478397</v>
      </c>
    </row>
    <row r="931" spans="1:19" x14ac:dyDescent="0.25">
      <c r="A931" s="230"/>
      <c r="B931" s="230"/>
      <c r="C931" s="230"/>
      <c r="D931" s="230"/>
      <c r="E931" s="230"/>
      <c r="F931" s="221"/>
      <c r="G931" s="222"/>
      <c r="H931" s="221"/>
      <c r="I931" s="222"/>
      <c r="J931" s="243"/>
      <c r="K931" s="43"/>
      <c r="L931" s="241"/>
      <c r="M931" s="43" t="s">
        <v>1173</v>
      </c>
      <c r="N931" s="14">
        <v>400</v>
      </c>
      <c r="O931" s="35">
        <v>34.225323957561002</v>
      </c>
      <c r="P931" s="35"/>
      <c r="Q931" s="35"/>
      <c r="R931" s="146">
        <f t="shared" si="112"/>
        <v>34.225323957561002</v>
      </c>
      <c r="S931" s="2">
        <f t="shared" si="106"/>
        <v>9.3003597710763594E-2</v>
      </c>
    </row>
    <row r="932" spans="1:19" x14ac:dyDescent="0.25">
      <c r="A932" s="230"/>
      <c r="B932" s="230"/>
      <c r="C932" s="230"/>
      <c r="D932" s="230"/>
      <c r="E932" s="230"/>
      <c r="F932" s="221"/>
      <c r="G932" s="222"/>
      <c r="H932" s="221"/>
      <c r="I932" s="222"/>
      <c r="J932" s="243"/>
      <c r="K932" s="43"/>
      <c r="L932" s="241"/>
      <c r="M932" s="43" t="s">
        <v>1174</v>
      </c>
      <c r="N932" s="3">
        <f>2*400</f>
        <v>800</v>
      </c>
      <c r="O932" s="35">
        <v>259.98082621608802</v>
      </c>
      <c r="P932" s="35"/>
      <c r="Q932" s="35"/>
      <c r="R932" s="146">
        <f t="shared" si="112"/>
        <v>259.98082621608802</v>
      </c>
      <c r="S932" s="2">
        <f t="shared" si="106"/>
        <v>0.35323481822838049</v>
      </c>
    </row>
    <row r="933" spans="1:19" x14ac:dyDescent="0.25">
      <c r="A933" s="230"/>
      <c r="B933" s="230"/>
      <c r="C933" s="230"/>
      <c r="D933" s="230"/>
      <c r="E933" s="230"/>
      <c r="F933" s="221"/>
      <c r="G933" s="222"/>
      <c r="H933" s="221"/>
      <c r="I933" s="222"/>
      <c r="J933" s="243"/>
      <c r="K933" s="43"/>
      <c r="L933" s="241"/>
      <c r="M933" s="43" t="s">
        <v>1175</v>
      </c>
      <c r="N933" s="14">
        <v>400</v>
      </c>
      <c r="O933" s="35">
        <v>72.399723756379103</v>
      </c>
      <c r="P933" s="35"/>
      <c r="Q933" s="35"/>
      <c r="R933" s="146">
        <f t="shared" si="112"/>
        <v>72.399723756379103</v>
      </c>
      <c r="S933" s="2">
        <f t="shared" si="106"/>
        <v>0.19673837977276931</v>
      </c>
    </row>
    <row r="934" spans="1:19" x14ac:dyDescent="0.25">
      <c r="A934" s="230"/>
      <c r="B934" s="230"/>
      <c r="C934" s="230"/>
      <c r="D934" s="230"/>
      <c r="E934" s="230"/>
      <c r="F934" s="221"/>
      <c r="G934" s="222"/>
      <c r="H934" s="221"/>
      <c r="I934" s="222"/>
      <c r="J934" s="243"/>
      <c r="K934" s="43"/>
      <c r="L934" s="241"/>
      <c r="M934" s="43" t="s">
        <v>1176</v>
      </c>
      <c r="N934" s="14">
        <v>400</v>
      </c>
      <c r="O934" s="35">
        <v>138.875833750873</v>
      </c>
      <c r="P934" s="35"/>
      <c r="Q934" s="35"/>
      <c r="R934" s="146">
        <f t="shared" si="112"/>
        <v>138.875833750873</v>
      </c>
      <c r="S934" s="2">
        <f t="shared" si="106"/>
        <v>0.37737998301867665</v>
      </c>
    </row>
    <row r="935" spans="1:19" x14ac:dyDescent="0.25">
      <c r="A935" s="230"/>
      <c r="B935" s="230"/>
      <c r="C935" s="230"/>
      <c r="D935" s="230"/>
      <c r="E935" s="230"/>
      <c r="F935" s="221"/>
      <c r="G935" s="222"/>
      <c r="H935" s="221"/>
      <c r="I935" s="222"/>
      <c r="J935" s="243"/>
      <c r="K935" s="43"/>
      <c r="L935" s="241"/>
      <c r="M935" s="43" t="s">
        <v>1177</v>
      </c>
      <c r="N935" s="14">
        <v>400</v>
      </c>
      <c r="O935" s="35">
        <v>6.5817930687617299</v>
      </c>
      <c r="P935" s="35"/>
      <c r="Q935" s="35"/>
      <c r="R935" s="146">
        <f t="shared" si="112"/>
        <v>6.5817930687617299</v>
      </c>
      <c r="S935" s="2">
        <f t="shared" si="106"/>
        <v>1.7885307252069917E-2</v>
      </c>
    </row>
    <row r="936" spans="1:19" x14ac:dyDescent="0.25">
      <c r="A936" s="230"/>
      <c r="B936" s="230"/>
      <c r="C936" s="230"/>
      <c r="D936" s="230"/>
      <c r="E936" s="230"/>
      <c r="F936" s="221"/>
      <c r="G936" s="222"/>
      <c r="H936" s="221"/>
      <c r="I936" s="222"/>
      <c r="J936" s="243"/>
      <c r="K936" s="43"/>
      <c r="L936" s="241"/>
      <c r="M936" s="43" t="s">
        <v>1178</v>
      </c>
      <c r="N936" s="14">
        <v>250</v>
      </c>
      <c r="O936" s="35">
        <v>29.6180688094278</v>
      </c>
      <c r="P936" s="35"/>
      <c r="Q936" s="35"/>
      <c r="R936" s="146">
        <f>O936+P936+Q936+15</f>
        <v>44.618068809427797</v>
      </c>
      <c r="S936" s="2">
        <f t="shared" si="106"/>
        <v>0.19399160351925129</v>
      </c>
    </row>
    <row r="937" spans="1:19" x14ac:dyDescent="0.25">
      <c r="A937" s="230"/>
      <c r="B937" s="230"/>
      <c r="C937" s="230"/>
      <c r="D937" s="230"/>
      <c r="E937" s="230"/>
      <c r="F937" s="221"/>
      <c r="G937" s="222"/>
      <c r="H937" s="221"/>
      <c r="I937" s="222"/>
      <c r="J937" s="243"/>
      <c r="K937" s="43"/>
      <c r="L937" s="241"/>
      <c r="M937" s="43" t="s">
        <v>1179</v>
      </c>
      <c r="N937" s="14">
        <v>400</v>
      </c>
      <c r="O937" s="35">
        <v>25.668992968170802</v>
      </c>
      <c r="P937" s="35"/>
      <c r="Q937" s="35"/>
      <c r="R937" s="146">
        <f t="shared" si="112"/>
        <v>25.668992968170802</v>
      </c>
      <c r="S937" s="2">
        <f t="shared" si="106"/>
        <v>6.9752698283072831E-2</v>
      </c>
    </row>
    <row r="938" spans="1:19" x14ac:dyDescent="0.25">
      <c r="A938" s="230"/>
      <c r="B938" s="230"/>
      <c r="C938" s="230"/>
      <c r="D938" s="230"/>
      <c r="E938" s="230"/>
      <c r="F938" s="221"/>
      <c r="G938" s="222"/>
      <c r="H938" s="221"/>
      <c r="I938" s="222"/>
      <c r="J938" s="243"/>
      <c r="K938" s="43"/>
      <c r="L938" s="241"/>
      <c r="M938" s="43" t="s">
        <v>1180</v>
      </c>
      <c r="N938" s="14">
        <v>100</v>
      </c>
      <c r="O938" s="35">
        <v>9.2145102962664307</v>
      </c>
      <c r="P938" s="35"/>
      <c r="Q938" s="35"/>
      <c r="R938" s="146">
        <f t="shared" si="112"/>
        <v>9.2145102962664307</v>
      </c>
      <c r="S938" s="2">
        <f t="shared" si="106"/>
        <v>0.10015772061159164</v>
      </c>
    </row>
    <row r="939" spans="1:19" x14ac:dyDescent="0.25">
      <c r="A939" s="230"/>
      <c r="B939" s="230"/>
      <c r="C939" s="230"/>
      <c r="D939" s="230"/>
      <c r="E939" s="230"/>
      <c r="F939" s="221"/>
      <c r="G939" s="222"/>
      <c r="H939" s="221"/>
      <c r="I939" s="222"/>
      <c r="J939" s="243"/>
      <c r="K939" s="43"/>
      <c r="L939" s="241"/>
      <c r="M939" s="43" t="s">
        <v>1181</v>
      </c>
      <c r="N939" s="1">
        <f>2*630</f>
        <v>1260</v>
      </c>
      <c r="O939" s="35">
        <v>242.209984930432</v>
      </c>
      <c r="P939" s="35"/>
      <c r="Q939" s="35"/>
      <c r="R939" s="146">
        <f t="shared" si="112"/>
        <v>242.209984930432</v>
      </c>
      <c r="S939" s="2">
        <f t="shared" si="106"/>
        <v>0.20894581170672186</v>
      </c>
    </row>
    <row r="940" spans="1:19" x14ac:dyDescent="0.25">
      <c r="A940" s="230"/>
      <c r="B940" s="230"/>
      <c r="C940" s="230"/>
      <c r="D940" s="230"/>
      <c r="E940" s="230"/>
      <c r="F940" s="221"/>
      <c r="G940" s="222"/>
      <c r="H940" s="221"/>
      <c r="I940" s="222"/>
      <c r="J940" s="243"/>
      <c r="K940" s="43"/>
      <c r="L940" s="241"/>
      <c r="M940" s="43" t="s">
        <v>1182</v>
      </c>
      <c r="N940" s="86">
        <f>2*400</f>
        <v>800</v>
      </c>
      <c r="O940" s="35">
        <v>56.603420391350902</v>
      </c>
      <c r="P940" s="35"/>
      <c r="Q940" s="35"/>
      <c r="R940" s="146">
        <f t="shared" si="112"/>
        <v>56.603420391350902</v>
      </c>
      <c r="S940" s="2">
        <f t="shared" si="106"/>
        <v>7.6906821183900687E-2</v>
      </c>
    </row>
    <row r="941" spans="1:19" x14ac:dyDescent="0.25">
      <c r="A941" s="230"/>
      <c r="B941" s="230"/>
      <c r="C941" s="230"/>
      <c r="D941" s="230"/>
      <c r="E941" s="230"/>
      <c r="F941" s="221"/>
      <c r="G941" s="222"/>
      <c r="H941" s="221"/>
      <c r="I941" s="222"/>
      <c r="J941" s="243"/>
      <c r="K941" s="43"/>
      <c r="L941" s="241"/>
      <c r="M941" s="43" t="s">
        <v>1183</v>
      </c>
      <c r="N941" s="14">
        <v>100</v>
      </c>
      <c r="O941" s="35">
        <v>71.083365142626704</v>
      </c>
      <c r="P941" s="35"/>
      <c r="Q941" s="35"/>
      <c r="R941" s="146">
        <f t="shared" si="112"/>
        <v>71.083365142626704</v>
      </c>
      <c r="S941" s="2">
        <f t="shared" si="106"/>
        <v>0.77264527328942068</v>
      </c>
    </row>
    <row r="942" spans="1:19" x14ac:dyDescent="0.25">
      <c r="A942" s="230"/>
      <c r="B942" s="230"/>
      <c r="C942" s="230"/>
      <c r="D942" s="230"/>
      <c r="E942" s="230"/>
      <c r="F942" s="221"/>
      <c r="G942" s="222"/>
      <c r="H942" s="221"/>
      <c r="I942" s="222"/>
      <c r="J942" s="243"/>
      <c r="K942" s="43"/>
      <c r="L942" s="241"/>
      <c r="M942" s="43" t="s">
        <v>1184</v>
      </c>
      <c r="N942" s="14">
        <v>160</v>
      </c>
      <c r="O942" s="35">
        <v>86.221489200778706</v>
      </c>
      <c r="P942" s="35"/>
      <c r="Q942" s="35"/>
      <c r="R942" s="146">
        <f t="shared" si="112"/>
        <v>86.221489200778706</v>
      </c>
      <c r="S942" s="2">
        <f t="shared" si="106"/>
        <v>0.58574381250529006</v>
      </c>
    </row>
    <row r="943" spans="1:19" x14ac:dyDescent="0.25">
      <c r="A943" s="230"/>
      <c r="B943" s="230"/>
      <c r="C943" s="230"/>
      <c r="D943" s="230"/>
      <c r="E943" s="230"/>
      <c r="F943" s="221"/>
      <c r="G943" s="222"/>
      <c r="H943" s="221"/>
      <c r="I943" s="222"/>
      <c r="J943" s="243"/>
      <c r="K943" s="43"/>
      <c r="L943" s="241"/>
      <c r="M943" s="43" t="s">
        <v>1185</v>
      </c>
      <c r="N943" s="14">
        <v>400</v>
      </c>
      <c r="O943" s="35">
        <v>100.701433952055</v>
      </c>
      <c r="P943" s="35"/>
      <c r="Q943" s="35"/>
      <c r="R943" s="146">
        <f t="shared" si="112"/>
        <v>100.701433952055</v>
      </c>
      <c r="S943" s="2">
        <f t="shared" si="106"/>
        <v>0.27364520095667116</v>
      </c>
    </row>
    <row r="944" spans="1:19" x14ac:dyDescent="0.25">
      <c r="A944" s="230"/>
      <c r="B944" s="230"/>
      <c r="C944" s="230"/>
      <c r="D944" s="230"/>
      <c r="E944" s="230"/>
      <c r="F944" s="221"/>
      <c r="G944" s="222"/>
      <c r="H944" s="221"/>
      <c r="I944" s="222"/>
      <c r="J944" s="243"/>
      <c r="K944" s="43"/>
      <c r="L944" s="241"/>
      <c r="M944" s="43" t="s">
        <v>1186</v>
      </c>
      <c r="N944" s="14">
        <v>100</v>
      </c>
      <c r="O944" s="35">
        <v>27.643530888799301</v>
      </c>
      <c r="P944" s="35"/>
      <c r="Q944" s="35"/>
      <c r="R944" s="146">
        <f t="shared" si="112"/>
        <v>27.643530888799301</v>
      </c>
      <c r="S944" s="2">
        <f t="shared" si="106"/>
        <v>0.30047316183477502</v>
      </c>
    </row>
    <row r="945" spans="1:19" x14ac:dyDescent="0.25">
      <c r="A945" s="230"/>
      <c r="B945" s="230"/>
      <c r="C945" s="230"/>
      <c r="D945" s="230"/>
      <c r="E945" s="230"/>
      <c r="F945" s="221"/>
      <c r="G945" s="222"/>
      <c r="H945" s="221"/>
      <c r="I945" s="222"/>
      <c r="J945" s="243"/>
      <c r="K945" s="43"/>
      <c r="L945" s="241"/>
      <c r="M945" s="43" t="s">
        <v>1187</v>
      </c>
      <c r="N945" s="14">
        <v>160</v>
      </c>
      <c r="O945" s="35">
        <v>11.1890482168949</v>
      </c>
      <c r="P945" s="35"/>
      <c r="Q945" s="35"/>
      <c r="R945" s="146">
        <f t="shared" si="112"/>
        <v>11.1890482168949</v>
      </c>
      <c r="S945" s="2">
        <f t="shared" si="106"/>
        <v>7.6012555821296859E-2</v>
      </c>
    </row>
    <row r="946" spans="1:19" x14ac:dyDescent="0.25">
      <c r="A946" s="230"/>
      <c r="B946" s="230"/>
      <c r="C946" s="230"/>
      <c r="D946" s="230"/>
      <c r="E946" s="230"/>
      <c r="F946" s="221"/>
      <c r="G946" s="222"/>
      <c r="H946" s="221"/>
      <c r="I946" s="222"/>
      <c r="J946" s="243"/>
      <c r="K946" s="43"/>
      <c r="L946" s="241"/>
      <c r="M946" s="43" t="s">
        <v>1188</v>
      </c>
      <c r="N946" s="14">
        <v>63</v>
      </c>
      <c r="O946" s="35">
        <v>5.2654344550093901</v>
      </c>
      <c r="P946" s="35"/>
      <c r="Q946" s="35"/>
      <c r="R946" s="146">
        <f t="shared" si="112"/>
        <v>5.2654344550093901</v>
      </c>
      <c r="S946" s="2">
        <f t="shared" si="106"/>
        <v>9.0846005089879056E-2</v>
      </c>
    </row>
    <row r="947" spans="1:19" ht="31.5" x14ac:dyDescent="0.25">
      <c r="A947" s="230"/>
      <c r="B947" s="230"/>
      <c r="C947" s="230"/>
      <c r="D947" s="230"/>
      <c r="E947" s="230"/>
      <c r="F947" s="221"/>
      <c r="G947" s="222"/>
      <c r="H947" s="221"/>
      <c r="I947" s="222"/>
      <c r="J947" s="243"/>
      <c r="K947" s="43"/>
      <c r="L947" s="241"/>
      <c r="M947" s="43" t="s">
        <v>460</v>
      </c>
      <c r="N947" s="14">
        <f>2*630</f>
        <v>1260</v>
      </c>
      <c r="O947" s="35">
        <v>268.53715720547899</v>
      </c>
      <c r="P947" s="35"/>
      <c r="Q947" s="35"/>
      <c r="R947" s="146">
        <f t="shared" si="112"/>
        <v>268.53715720547899</v>
      </c>
      <c r="S947" s="2">
        <f t="shared" si="106"/>
        <v>0.23165731297919168</v>
      </c>
    </row>
    <row r="948" spans="1:19" x14ac:dyDescent="0.25">
      <c r="A948" s="230"/>
      <c r="B948" s="230"/>
      <c r="C948" s="230"/>
      <c r="D948" s="230"/>
      <c r="E948" s="230"/>
      <c r="F948" s="221"/>
      <c r="G948" s="222"/>
      <c r="H948" s="221"/>
      <c r="I948" s="222"/>
      <c r="J948" s="243"/>
      <c r="K948" s="43"/>
      <c r="L948" s="241"/>
      <c r="M948" s="43" t="s">
        <v>444</v>
      </c>
      <c r="N948" s="3">
        <f t="shared" ref="N948:N949" si="113">2*400</f>
        <v>800</v>
      </c>
      <c r="O948" s="35">
        <v>71.083365142626704</v>
      </c>
      <c r="P948" s="35"/>
      <c r="Q948" s="35"/>
      <c r="R948" s="146">
        <f t="shared" si="112"/>
        <v>71.083365142626704</v>
      </c>
      <c r="S948" s="2">
        <f t="shared" si="106"/>
        <v>9.6580659161177584E-2</v>
      </c>
    </row>
    <row r="949" spans="1:19" ht="16.5" thickBot="1" x14ac:dyDescent="0.3">
      <c r="A949" s="231"/>
      <c r="B949" s="230"/>
      <c r="C949" s="230"/>
      <c r="D949" s="230"/>
      <c r="E949" s="230"/>
      <c r="F949" s="223"/>
      <c r="G949" s="224"/>
      <c r="H949" s="221"/>
      <c r="I949" s="222"/>
      <c r="J949" s="239"/>
      <c r="K949" s="43"/>
      <c r="L949" s="242"/>
      <c r="M949" s="49" t="s">
        <v>2134</v>
      </c>
      <c r="N949" s="3">
        <f t="shared" si="113"/>
        <v>800</v>
      </c>
      <c r="O949" s="35">
        <v>13.163586137523501</v>
      </c>
      <c r="P949" s="35"/>
      <c r="Q949" s="35"/>
      <c r="R949" s="146">
        <f t="shared" si="112"/>
        <v>13.163586137523501</v>
      </c>
      <c r="S949" s="2">
        <f t="shared" si="106"/>
        <v>1.7885307252069972E-2</v>
      </c>
    </row>
    <row r="950" spans="1:19" x14ac:dyDescent="0.25">
      <c r="A950" s="229">
        <v>42</v>
      </c>
      <c r="B950" s="230"/>
      <c r="C950" s="230"/>
      <c r="D950" s="230"/>
      <c r="E950" s="230"/>
      <c r="F950" s="219" t="s">
        <v>10</v>
      </c>
      <c r="G950" s="220"/>
      <c r="H950" s="221"/>
      <c r="I950" s="222"/>
      <c r="J950" s="229"/>
      <c r="K950" s="43"/>
      <c r="L950" s="240">
        <f>SUM(S950:S963)</f>
        <v>2.2488783438247695</v>
      </c>
      <c r="M950" s="41" t="s">
        <v>2135</v>
      </c>
      <c r="N950" s="14">
        <f>2*630</f>
        <v>1260</v>
      </c>
      <c r="O950" s="35">
        <v>199.42832998348001</v>
      </c>
      <c r="P950" s="35"/>
      <c r="Q950" s="35"/>
      <c r="R950" s="146">
        <f t="shared" si="112"/>
        <v>199.42832998348001</v>
      </c>
      <c r="S950" s="2">
        <f t="shared" si="106"/>
        <v>0.1720396221389579</v>
      </c>
    </row>
    <row r="951" spans="1:19" ht="31.5" x14ac:dyDescent="0.25">
      <c r="A951" s="230"/>
      <c r="B951" s="230"/>
      <c r="C951" s="230"/>
      <c r="D951" s="230"/>
      <c r="E951" s="230"/>
      <c r="F951" s="221"/>
      <c r="G951" s="222"/>
      <c r="H951" s="221"/>
      <c r="I951" s="222"/>
      <c r="J951" s="230"/>
      <c r="K951" s="43"/>
      <c r="L951" s="241"/>
      <c r="M951" s="43" t="s">
        <v>526</v>
      </c>
      <c r="N951" s="3">
        <f>2*250</f>
        <v>500</v>
      </c>
      <c r="O951" s="35">
        <v>93.461461576416596</v>
      </c>
      <c r="P951" s="35"/>
      <c r="Q951" s="35"/>
      <c r="R951" s="146">
        <f t="shared" si="112"/>
        <v>93.461461576416596</v>
      </c>
      <c r="S951" s="2">
        <f t="shared" si="106"/>
        <v>0.20317709038351434</v>
      </c>
    </row>
    <row r="952" spans="1:19" x14ac:dyDescent="0.25">
      <c r="A952" s="230"/>
      <c r="B952" s="230"/>
      <c r="C952" s="230"/>
      <c r="D952" s="230"/>
      <c r="E952" s="230"/>
      <c r="F952" s="221"/>
      <c r="G952" s="222"/>
      <c r="H952" s="221"/>
      <c r="I952" s="222"/>
      <c r="J952" s="230"/>
      <c r="K952" s="43"/>
      <c r="L952" s="241"/>
      <c r="M952" s="43" t="s">
        <v>1189</v>
      </c>
      <c r="N952" s="14">
        <v>400</v>
      </c>
      <c r="O952" s="35">
        <v>141.508550978377</v>
      </c>
      <c r="P952" s="35"/>
      <c r="Q952" s="35"/>
      <c r="R952" s="146">
        <f t="shared" si="112"/>
        <v>141.508550978377</v>
      </c>
      <c r="S952" s="2">
        <f t="shared" si="106"/>
        <v>0.38453410591950271</v>
      </c>
    </row>
    <row r="953" spans="1:19" x14ac:dyDescent="0.25">
      <c r="A953" s="230"/>
      <c r="B953" s="230"/>
      <c r="C953" s="230"/>
      <c r="D953" s="230"/>
      <c r="E953" s="230"/>
      <c r="F953" s="221"/>
      <c r="G953" s="222"/>
      <c r="H953" s="221"/>
      <c r="I953" s="222"/>
      <c r="J953" s="230"/>
      <c r="K953" s="43"/>
      <c r="L953" s="241"/>
      <c r="M953" s="43" t="s">
        <v>1171</v>
      </c>
      <c r="N953" s="3">
        <f>2*250</f>
        <v>500</v>
      </c>
      <c r="O953" s="35">
        <v>97.410537417673694</v>
      </c>
      <c r="P953" s="35"/>
      <c r="Q953" s="35"/>
      <c r="R953" s="146">
        <f t="shared" si="112"/>
        <v>97.410537417673694</v>
      </c>
      <c r="S953" s="2">
        <f t="shared" si="106"/>
        <v>0.21176203786450803</v>
      </c>
    </row>
    <row r="954" spans="1:19" x14ac:dyDescent="0.25">
      <c r="A954" s="230"/>
      <c r="B954" s="230"/>
      <c r="C954" s="230"/>
      <c r="D954" s="230"/>
      <c r="E954" s="230"/>
      <c r="F954" s="221"/>
      <c r="G954" s="222"/>
      <c r="H954" s="221"/>
      <c r="I954" s="222"/>
      <c r="J954" s="230"/>
      <c r="K954" s="43"/>
      <c r="L954" s="241"/>
      <c r="M954" s="43" t="s">
        <v>1190</v>
      </c>
      <c r="N954" s="14">
        <v>630</v>
      </c>
      <c r="O954" s="35">
        <v>67.134289301369705</v>
      </c>
      <c r="P954" s="35"/>
      <c r="Q954" s="35">
        <v>7.5</v>
      </c>
      <c r="R954" s="146">
        <f t="shared" si="112"/>
        <v>74.634289301369705</v>
      </c>
      <c r="S954" s="2">
        <f t="shared" si="106"/>
        <v>0.12876861508172827</v>
      </c>
    </row>
    <row r="955" spans="1:19" x14ac:dyDescent="0.25">
      <c r="A955" s="230"/>
      <c r="B955" s="230"/>
      <c r="C955" s="230"/>
      <c r="D955" s="230"/>
      <c r="E955" s="230"/>
      <c r="F955" s="221"/>
      <c r="G955" s="222"/>
      <c r="H955" s="221"/>
      <c r="I955" s="222"/>
      <c r="J955" s="230"/>
      <c r="K955" s="43"/>
      <c r="L955" s="241"/>
      <c r="M955" s="43" t="s">
        <v>1191</v>
      </c>
      <c r="N955" s="14">
        <v>630</v>
      </c>
      <c r="O955" s="35">
        <v>15.138124058152</v>
      </c>
      <c r="P955" s="35"/>
      <c r="Q955" s="35"/>
      <c r="R955" s="146">
        <f t="shared" si="112"/>
        <v>15.138124058152</v>
      </c>
      <c r="S955" s="2">
        <f t="shared" si="106"/>
        <v>2.6118226463340232E-2</v>
      </c>
    </row>
    <row r="956" spans="1:19" x14ac:dyDescent="0.25">
      <c r="A956" s="230"/>
      <c r="B956" s="230"/>
      <c r="C956" s="230"/>
      <c r="D956" s="230"/>
      <c r="E956" s="230"/>
      <c r="F956" s="221"/>
      <c r="G956" s="222"/>
      <c r="H956" s="221"/>
      <c r="I956" s="222"/>
      <c r="J956" s="230"/>
      <c r="K956" s="43"/>
      <c r="L956" s="241"/>
      <c r="M956" s="43" t="s">
        <v>1192</v>
      </c>
      <c r="N956" s="14">
        <v>400</v>
      </c>
      <c r="O956" s="35">
        <v>38.832579105694201</v>
      </c>
      <c r="P956" s="35"/>
      <c r="Q956" s="35"/>
      <c r="R956" s="146">
        <f t="shared" si="112"/>
        <v>38.832579105694201</v>
      </c>
      <c r="S956" s="2">
        <f t="shared" si="106"/>
        <v>0.1055233127872125</v>
      </c>
    </row>
    <row r="957" spans="1:19" x14ac:dyDescent="0.25">
      <c r="A957" s="230"/>
      <c r="B957" s="230"/>
      <c r="C957" s="230"/>
      <c r="D957" s="230"/>
      <c r="E957" s="230"/>
      <c r="F957" s="221"/>
      <c r="G957" s="222"/>
      <c r="H957" s="221"/>
      <c r="I957" s="222"/>
      <c r="J957" s="230"/>
      <c r="K957" s="43"/>
      <c r="L957" s="241"/>
      <c r="M957" s="43" t="s">
        <v>1181</v>
      </c>
      <c r="N957" s="1">
        <f>2*630</f>
        <v>1260</v>
      </c>
      <c r="O957" s="35">
        <v>86.879668507654898</v>
      </c>
      <c r="P957" s="35"/>
      <c r="Q957" s="35"/>
      <c r="R957" s="146">
        <f t="shared" si="112"/>
        <v>86.879668507654898</v>
      </c>
      <c r="S957" s="2">
        <f t="shared" si="106"/>
        <v>7.494795419915018E-2</v>
      </c>
    </row>
    <row r="958" spans="1:19" x14ac:dyDescent="0.25">
      <c r="A958" s="230"/>
      <c r="B958" s="230"/>
      <c r="C958" s="230"/>
      <c r="D958" s="230"/>
      <c r="E958" s="230"/>
      <c r="F958" s="221"/>
      <c r="G958" s="222"/>
      <c r="H958" s="221"/>
      <c r="I958" s="222"/>
      <c r="J958" s="230"/>
      <c r="K958" s="43"/>
      <c r="L958" s="241"/>
      <c r="M958" s="43" t="s">
        <v>1182</v>
      </c>
      <c r="N958" s="86">
        <f>2*400</f>
        <v>800</v>
      </c>
      <c r="O958" s="35">
        <v>132.29404068211099</v>
      </c>
      <c r="P958" s="35"/>
      <c r="Q958" s="35"/>
      <c r="R958" s="146">
        <f t="shared" si="112"/>
        <v>132.29404068211099</v>
      </c>
      <c r="S958" s="2">
        <f t="shared" si="106"/>
        <v>0.17974733788330297</v>
      </c>
    </row>
    <row r="959" spans="1:19" x14ac:dyDescent="0.25">
      <c r="A959" s="230"/>
      <c r="B959" s="230"/>
      <c r="C959" s="230"/>
      <c r="D959" s="230"/>
      <c r="E959" s="230"/>
      <c r="F959" s="221"/>
      <c r="G959" s="222"/>
      <c r="H959" s="221"/>
      <c r="I959" s="222"/>
      <c r="J959" s="230"/>
      <c r="K959" s="43"/>
      <c r="L959" s="241"/>
      <c r="M959" s="43" t="s">
        <v>1193</v>
      </c>
      <c r="N959" s="14">
        <v>400</v>
      </c>
      <c r="O959" s="35">
        <v>19.087199899409001</v>
      </c>
      <c r="P959" s="35"/>
      <c r="Q959" s="35"/>
      <c r="R959" s="146">
        <f t="shared" si="112"/>
        <v>19.087199899409001</v>
      </c>
      <c r="S959" s="2">
        <f t="shared" si="106"/>
        <v>5.186739103100272E-2</v>
      </c>
    </row>
    <row r="960" spans="1:19" x14ac:dyDescent="0.25">
      <c r="A960" s="230"/>
      <c r="B960" s="230"/>
      <c r="C960" s="230"/>
      <c r="D960" s="230"/>
      <c r="E960" s="230"/>
      <c r="F960" s="221"/>
      <c r="G960" s="222"/>
      <c r="H960" s="221"/>
      <c r="I960" s="222"/>
      <c r="J960" s="230"/>
      <c r="K960" s="43"/>
      <c r="L960" s="241"/>
      <c r="M960" s="43" t="s">
        <v>1194</v>
      </c>
      <c r="N960" s="86">
        <f>2*400</f>
        <v>800</v>
      </c>
      <c r="O960" s="35">
        <v>93.461461576416596</v>
      </c>
      <c r="P960" s="35"/>
      <c r="Q960" s="35">
        <f>20</f>
        <v>20</v>
      </c>
      <c r="R960" s="146">
        <f t="shared" si="112"/>
        <v>113.4614615764166</v>
      </c>
      <c r="S960" s="2">
        <f t="shared" si="106"/>
        <v>0.15415959453317471</v>
      </c>
    </row>
    <row r="961" spans="1:19" x14ac:dyDescent="0.25">
      <c r="A961" s="230"/>
      <c r="B961" s="230"/>
      <c r="C961" s="230"/>
      <c r="D961" s="230"/>
      <c r="E961" s="230"/>
      <c r="F961" s="221"/>
      <c r="G961" s="222"/>
      <c r="H961" s="221"/>
      <c r="I961" s="222"/>
      <c r="J961" s="230"/>
      <c r="K961" s="43"/>
      <c r="L961" s="241"/>
      <c r="M961" s="43" t="s">
        <v>1172</v>
      </c>
      <c r="N961" s="14">
        <f>2*100</f>
        <v>200</v>
      </c>
      <c r="O961" s="35">
        <v>57.261599698227101</v>
      </c>
      <c r="P961" s="35"/>
      <c r="Q961" s="35"/>
      <c r="R961" s="146">
        <f t="shared" si="112"/>
        <v>57.261599698227101</v>
      </c>
      <c r="S961" s="2">
        <f t="shared" si="106"/>
        <v>0.31120434618601683</v>
      </c>
    </row>
    <row r="962" spans="1:19" ht="31.5" x14ac:dyDescent="0.25">
      <c r="A962" s="230"/>
      <c r="B962" s="230"/>
      <c r="C962" s="230"/>
      <c r="D962" s="230"/>
      <c r="E962" s="230"/>
      <c r="F962" s="221"/>
      <c r="G962" s="222"/>
      <c r="H962" s="221"/>
      <c r="I962" s="222"/>
      <c r="J962" s="230"/>
      <c r="K962" s="43"/>
      <c r="L962" s="241"/>
      <c r="M962" s="43" t="s">
        <v>461</v>
      </c>
      <c r="N962" s="3">
        <f>2*400</f>
        <v>800</v>
      </c>
      <c r="O962" s="35">
        <v>13.163586137523501</v>
      </c>
      <c r="P962" s="35"/>
      <c r="Q962" s="35"/>
      <c r="R962" s="146">
        <f t="shared" si="112"/>
        <v>13.163586137523501</v>
      </c>
      <c r="S962" s="2">
        <f t="shared" si="106"/>
        <v>1.7885307252069972E-2</v>
      </c>
    </row>
    <row r="963" spans="1:19" x14ac:dyDescent="0.25">
      <c r="A963" s="231"/>
      <c r="B963" s="230"/>
      <c r="C963" s="230"/>
      <c r="D963" s="230"/>
      <c r="E963" s="230"/>
      <c r="F963" s="223"/>
      <c r="G963" s="224"/>
      <c r="H963" s="221"/>
      <c r="I963" s="222"/>
      <c r="J963" s="231"/>
      <c r="K963" s="43"/>
      <c r="L963" s="242"/>
      <c r="M963" s="43" t="s">
        <v>267</v>
      </c>
      <c r="N963" s="14">
        <v>400</v>
      </c>
      <c r="O963" s="35">
        <v>83.588771973274007</v>
      </c>
      <c r="P963" s="35"/>
      <c r="Q963" s="35"/>
      <c r="R963" s="146">
        <f t="shared" si="112"/>
        <v>83.588771973274007</v>
      </c>
      <c r="S963" s="2">
        <f t="shared" si="106"/>
        <v>0.22714340210128806</v>
      </c>
    </row>
    <row r="964" spans="1:19" ht="31.5" x14ac:dyDescent="0.25">
      <c r="A964" s="229">
        <v>43</v>
      </c>
      <c r="B964" s="230"/>
      <c r="C964" s="230"/>
      <c r="D964" s="230"/>
      <c r="E964" s="230"/>
      <c r="F964" s="219" t="s">
        <v>11</v>
      </c>
      <c r="G964" s="220"/>
      <c r="H964" s="221"/>
      <c r="I964" s="222"/>
      <c r="J964" s="229"/>
      <c r="K964" s="43"/>
      <c r="L964" s="240">
        <f>SUM(S964:S973)</f>
        <v>2.0351625324117717</v>
      </c>
      <c r="M964" s="43" t="s">
        <v>524</v>
      </c>
      <c r="N964" s="14">
        <f>2*630</f>
        <v>1260</v>
      </c>
      <c r="O964" s="35">
        <v>213.90827473475599</v>
      </c>
      <c r="P964" s="35"/>
      <c r="Q964" s="35"/>
      <c r="R964" s="146">
        <f t="shared" si="112"/>
        <v>213.90827473475599</v>
      </c>
      <c r="S964" s="2">
        <f t="shared" si="106"/>
        <v>0.18453094783881641</v>
      </c>
    </row>
    <row r="965" spans="1:19" x14ac:dyDescent="0.25">
      <c r="A965" s="230"/>
      <c r="B965" s="230"/>
      <c r="C965" s="230"/>
      <c r="D965" s="230"/>
      <c r="E965" s="230"/>
      <c r="F965" s="221"/>
      <c r="G965" s="222"/>
      <c r="H965" s="221"/>
      <c r="I965" s="222"/>
      <c r="J965" s="230"/>
      <c r="K965" s="43"/>
      <c r="L965" s="241"/>
      <c r="M965" s="43" t="s">
        <v>1195</v>
      </c>
      <c r="N965" s="14">
        <v>400</v>
      </c>
      <c r="O965" s="35">
        <v>13.163586137523501</v>
      </c>
      <c r="P965" s="35"/>
      <c r="Q965" s="35">
        <f>150</f>
        <v>150</v>
      </c>
      <c r="R965" s="146">
        <f t="shared" si="112"/>
        <v>163.16358613752351</v>
      </c>
      <c r="S965" s="2">
        <f t="shared" si="106"/>
        <v>0.44337931015631388</v>
      </c>
    </row>
    <row r="966" spans="1:19" x14ac:dyDescent="0.25">
      <c r="A966" s="230"/>
      <c r="B966" s="230"/>
      <c r="C966" s="230"/>
      <c r="D966" s="230"/>
      <c r="E966" s="230"/>
      <c r="F966" s="221"/>
      <c r="G966" s="222"/>
      <c r="H966" s="221"/>
      <c r="I966" s="222"/>
      <c r="J966" s="230"/>
      <c r="K966" s="43"/>
      <c r="L966" s="241"/>
      <c r="M966" s="43" t="s">
        <v>1196</v>
      </c>
      <c r="N966" s="14">
        <f>2*630</f>
        <v>1260</v>
      </c>
      <c r="O966" s="35">
        <v>0.65817930687617299</v>
      </c>
      <c r="P966" s="35"/>
      <c r="Q966" s="35"/>
      <c r="R966" s="146">
        <f t="shared" si="112"/>
        <v>0.65817930687617299</v>
      </c>
      <c r="S966" s="2">
        <f t="shared" si="106"/>
        <v>5.6778753181174345E-4</v>
      </c>
    </row>
    <row r="967" spans="1:19" x14ac:dyDescent="0.25">
      <c r="A967" s="230"/>
      <c r="B967" s="230"/>
      <c r="C967" s="230"/>
      <c r="D967" s="230"/>
      <c r="E967" s="230"/>
      <c r="F967" s="221"/>
      <c r="G967" s="222"/>
      <c r="H967" s="221"/>
      <c r="I967" s="222"/>
      <c r="J967" s="230"/>
      <c r="K967" s="43"/>
      <c r="L967" s="241"/>
      <c r="M967" s="43" t="s">
        <v>1197</v>
      </c>
      <c r="N967" s="14">
        <v>400</v>
      </c>
      <c r="O967" s="35">
        <v>106.62504771394001</v>
      </c>
      <c r="P967" s="35"/>
      <c r="Q967" s="35">
        <f>11</f>
        <v>11</v>
      </c>
      <c r="R967" s="146">
        <f t="shared" si="112"/>
        <v>117.62504771394001</v>
      </c>
      <c r="S967" s="2">
        <f t="shared" si="106"/>
        <v>0.3196332818313587</v>
      </c>
    </row>
    <row r="968" spans="1:19" x14ac:dyDescent="0.25">
      <c r="A968" s="230"/>
      <c r="B968" s="230"/>
      <c r="C968" s="230"/>
      <c r="D968" s="230"/>
      <c r="E968" s="230"/>
      <c r="F968" s="221"/>
      <c r="G968" s="222"/>
      <c r="H968" s="221"/>
      <c r="I968" s="222"/>
      <c r="J968" s="230"/>
      <c r="K968" s="43"/>
      <c r="L968" s="241"/>
      <c r="M968" s="43" t="s">
        <v>1198</v>
      </c>
      <c r="N968" s="14">
        <f>2*250</f>
        <v>500</v>
      </c>
      <c r="O968" s="35">
        <v>74.374261677007595</v>
      </c>
      <c r="P968" s="35"/>
      <c r="Q968" s="35">
        <f>15</f>
        <v>15</v>
      </c>
      <c r="R968" s="146">
        <f t="shared" si="112"/>
        <v>89.374261677007595</v>
      </c>
      <c r="S968" s="2">
        <f t="shared" si="106"/>
        <v>0.19429187321088609</v>
      </c>
    </row>
    <row r="969" spans="1:19" x14ac:dyDescent="0.25">
      <c r="A969" s="230"/>
      <c r="B969" s="230"/>
      <c r="C969" s="230"/>
      <c r="D969" s="230"/>
      <c r="E969" s="230"/>
      <c r="F969" s="221"/>
      <c r="G969" s="222"/>
      <c r="H969" s="221"/>
      <c r="I969" s="222"/>
      <c r="J969" s="230"/>
      <c r="K969" s="43"/>
      <c r="L969" s="241"/>
      <c r="M969" s="43" t="s">
        <v>1199</v>
      </c>
      <c r="N969" s="14">
        <v>400</v>
      </c>
      <c r="O969" s="35">
        <v>80.956054745769293</v>
      </c>
      <c r="P969" s="35"/>
      <c r="Q969" s="35">
        <f>15+15+5</f>
        <v>35</v>
      </c>
      <c r="R969" s="146">
        <f t="shared" si="112"/>
        <v>115.95605474576929</v>
      </c>
      <c r="S969" s="2">
        <f t="shared" si="106"/>
        <v>0.31509797485263397</v>
      </c>
    </row>
    <row r="970" spans="1:19" x14ac:dyDescent="0.25">
      <c r="A970" s="230"/>
      <c r="B970" s="230"/>
      <c r="C970" s="230"/>
      <c r="D970" s="230"/>
      <c r="E970" s="230"/>
      <c r="F970" s="221"/>
      <c r="G970" s="222"/>
      <c r="H970" s="221"/>
      <c r="I970" s="222"/>
      <c r="J970" s="230"/>
      <c r="K970" s="43"/>
      <c r="L970" s="241"/>
      <c r="M970" s="43" t="s">
        <v>1170</v>
      </c>
      <c r="N970" s="14">
        <f>2*250</f>
        <v>500</v>
      </c>
      <c r="O970" s="35">
        <v>38.832579105694201</v>
      </c>
      <c r="P970" s="35"/>
      <c r="Q970" s="35"/>
      <c r="R970" s="146">
        <f t="shared" si="112"/>
        <v>38.832579105694201</v>
      </c>
      <c r="S970" s="2">
        <f t="shared" si="106"/>
        <v>8.4418650229770006E-2</v>
      </c>
    </row>
    <row r="971" spans="1:19" x14ac:dyDescent="0.25">
      <c r="A971" s="230"/>
      <c r="B971" s="230"/>
      <c r="C971" s="230"/>
      <c r="D971" s="230"/>
      <c r="E971" s="230"/>
      <c r="F971" s="221"/>
      <c r="G971" s="222"/>
      <c r="H971" s="221"/>
      <c r="I971" s="222"/>
      <c r="J971" s="230"/>
      <c r="K971" s="43"/>
      <c r="L971" s="241"/>
      <c r="M971" s="43" t="s">
        <v>1169</v>
      </c>
      <c r="N971" s="1">
        <f>2*630</f>
        <v>1260</v>
      </c>
      <c r="O971" s="35">
        <v>25.668992968170802</v>
      </c>
      <c r="P971" s="35"/>
      <c r="Q971" s="35"/>
      <c r="R971" s="146">
        <f t="shared" si="112"/>
        <v>25.668992968170802</v>
      </c>
      <c r="S971" s="2">
        <f t="shared" si="106"/>
        <v>2.2143713740658041E-2</v>
      </c>
    </row>
    <row r="972" spans="1:19" x14ac:dyDescent="0.25">
      <c r="A972" s="230"/>
      <c r="B972" s="230"/>
      <c r="C972" s="230"/>
      <c r="D972" s="230"/>
      <c r="E972" s="230"/>
      <c r="F972" s="221"/>
      <c r="G972" s="222"/>
      <c r="H972" s="221"/>
      <c r="I972" s="222"/>
      <c r="J972" s="230"/>
      <c r="K972" s="43"/>
      <c r="L972" s="241"/>
      <c r="M972" s="43" t="s">
        <v>1200</v>
      </c>
      <c r="N972" s="14">
        <f>2*250</f>
        <v>500</v>
      </c>
      <c r="O972" s="35">
        <v>38.174399798818101</v>
      </c>
      <c r="P972" s="35"/>
      <c r="Q972" s="35"/>
      <c r="R972" s="146">
        <f t="shared" si="112"/>
        <v>38.174399798818101</v>
      </c>
      <c r="S972" s="2">
        <f t="shared" si="106"/>
        <v>8.2987825649604566E-2</v>
      </c>
    </row>
    <row r="973" spans="1:19" x14ac:dyDescent="0.25">
      <c r="A973" s="231"/>
      <c r="B973" s="230"/>
      <c r="C973" s="230"/>
      <c r="D973" s="230"/>
      <c r="E973" s="230"/>
      <c r="F973" s="223"/>
      <c r="G973" s="224"/>
      <c r="H973" s="221"/>
      <c r="I973" s="222"/>
      <c r="J973" s="231"/>
      <c r="K973" s="43"/>
      <c r="L973" s="242"/>
      <c r="M973" s="43" t="s">
        <v>268</v>
      </c>
      <c r="N973" s="14">
        <v>400</v>
      </c>
      <c r="O973" s="35">
        <v>142.82490959213001</v>
      </c>
      <c r="P973" s="35"/>
      <c r="Q973" s="35"/>
      <c r="R973" s="146">
        <f t="shared" si="112"/>
        <v>142.82490959213001</v>
      </c>
      <c r="S973" s="2">
        <f t="shared" si="106"/>
        <v>0.38811116736991852</v>
      </c>
    </row>
    <row r="974" spans="1:19" ht="31.5" x14ac:dyDescent="0.25">
      <c r="A974" s="229">
        <v>44</v>
      </c>
      <c r="B974" s="230"/>
      <c r="C974" s="230"/>
      <c r="D974" s="230"/>
      <c r="E974" s="230"/>
      <c r="F974" s="219" t="s">
        <v>12</v>
      </c>
      <c r="G974" s="220"/>
      <c r="H974" s="221"/>
      <c r="I974" s="222"/>
      <c r="J974" s="229"/>
      <c r="K974" s="43"/>
      <c r="L974" s="240">
        <f>SUM(S974:S984)</f>
        <v>2.3487204263158108</v>
      </c>
      <c r="M974" s="43" t="s">
        <v>477</v>
      </c>
      <c r="N974" s="160">
        <f>2*1000</f>
        <v>2000</v>
      </c>
      <c r="O974" s="35">
        <v>119.130454544587</v>
      </c>
      <c r="P974" s="35"/>
      <c r="Q974" s="35"/>
      <c r="R974" s="146">
        <f t="shared" si="112"/>
        <v>119.130454544587</v>
      </c>
      <c r="S974" s="2">
        <f t="shared" ref="S974:S1037" si="114">R974/(N974*0.92)</f>
        <v>6.4744812252492928E-2</v>
      </c>
    </row>
    <row r="975" spans="1:19" x14ac:dyDescent="0.25">
      <c r="A975" s="230"/>
      <c r="B975" s="230"/>
      <c r="C975" s="230"/>
      <c r="D975" s="230"/>
      <c r="E975" s="230"/>
      <c r="F975" s="221"/>
      <c r="G975" s="222"/>
      <c r="H975" s="221"/>
      <c r="I975" s="222"/>
      <c r="J975" s="230"/>
      <c r="K975" s="43"/>
      <c r="L975" s="241"/>
      <c r="M975" s="43" t="s">
        <v>1201</v>
      </c>
      <c r="N975" s="14">
        <v>400</v>
      </c>
      <c r="O975" s="35">
        <v>16.454482671904302</v>
      </c>
      <c r="P975" s="35"/>
      <c r="Q975" s="35">
        <f>10+4+15+11+4+11</f>
        <v>55</v>
      </c>
      <c r="R975" s="146">
        <f t="shared" si="112"/>
        <v>71.454482671904302</v>
      </c>
      <c r="S975" s="2">
        <f t="shared" si="114"/>
        <v>0.19416978986930516</v>
      </c>
    </row>
    <row r="976" spans="1:19" x14ac:dyDescent="0.25">
      <c r="A976" s="230"/>
      <c r="B976" s="230"/>
      <c r="C976" s="230"/>
      <c r="D976" s="230"/>
      <c r="E976" s="230"/>
      <c r="F976" s="221"/>
      <c r="G976" s="222"/>
      <c r="H976" s="221"/>
      <c r="I976" s="222"/>
      <c r="J976" s="230"/>
      <c r="K976" s="43"/>
      <c r="L976" s="241"/>
      <c r="M976" s="43" t="s">
        <v>1202</v>
      </c>
      <c r="N976" s="14">
        <v>630</v>
      </c>
      <c r="O976" s="35">
        <v>6.5817930687617299</v>
      </c>
      <c r="P976" s="35"/>
      <c r="Q976" s="35">
        <f>15+15+15+15+50+15+23.2+15+30+11+11+4</f>
        <v>219.2</v>
      </c>
      <c r="R976" s="146">
        <f t="shared" si="112"/>
        <v>225.78179306876171</v>
      </c>
      <c r="S976" s="2">
        <f t="shared" si="114"/>
        <v>0.38954760708896086</v>
      </c>
    </row>
    <row r="977" spans="1:19" x14ac:dyDescent="0.25">
      <c r="A977" s="230"/>
      <c r="B977" s="230"/>
      <c r="C977" s="230"/>
      <c r="D977" s="230"/>
      <c r="E977" s="230"/>
      <c r="F977" s="221"/>
      <c r="G977" s="222"/>
      <c r="H977" s="221"/>
      <c r="I977" s="222"/>
      <c r="J977" s="230"/>
      <c r="K977" s="43"/>
      <c r="L977" s="241"/>
      <c r="M977" s="43" t="s">
        <v>1203</v>
      </c>
      <c r="N977" s="14">
        <v>250</v>
      </c>
      <c r="O977" s="35">
        <v>3.2908965343808698</v>
      </c>
      <c r="P977" s="35"/>
      <c r="Q977" s="35"/>
      <c r="R977" s="146">
        <f t="shared" si="112"/>
        <v>3.2908965343808698</v>
      </c>
      <c r="S977" s="2">
        <f t="shared" si="114"/>
        <v>1.4308245801655956E-2</v>
      </c>
    </row>
    <row r="978" spans="1:19" x14ac:dyDescent="0.25">
      <c r="A978" s="230"/>
      <c r="B978" s="230"/>
      <c r="C978" s="230"/>
      <c r="D978" s="230"/>
      <c r="E978" s="230"/>
      <c r="F978" s="221"/>
      <c r="G978" s="222"/>
      <c r="H978" s="221"/>
      <c r="I978" s="222"/>
      <c r="J978" s="230"/>
      <c r="K978" s="43"/>
      <c r="L978" s="241"/>
      <c r="M978" s="43" t="s">
        <v>1204</v>
      </c>
      <c r="N978" s="1">
        <f t="shared" ref="N978:N979" si="115">2*630</f>
        <v>1260</v>
      </c>
      <c r="O978" s="35">
        <v>4.60725514813321</v>
      </c>
      <c r="P978" s="35"/>
      <c r="Q978" s="35"/>
      <c r="R978" s="146">
        <f t="shared" si="112"/>
        <v>4.60725514813321</v>
      </c>
      <c r="S978" s="2">
        <f t="shared" si="114"/>
        <v>3.9745127226822035E-3</v>
      </c>
    </row>
    <row r="979" spans="1:19" x14ac:dyDescent="0.25">
      <c r="A979" s="230"/>
      <c r="B979" s="230"/>
      <c r="C979" s="230"/>
      <c r="D979" s="230"/>
      <c r="E979" s="230"/>
      <c r="F979" s="221"/>
      <c r="G979" s="222"/>
      <c r="H979" s="221"/>
      <c r="I979" s="222"/>
      <c r="J979" s="230"/>
      <c r="K979" s="43"/>
      <c r="L979" s="241"/>
      <c r="M979" s="43" t="s">
        <v>1205</v>
      </c>
      <c r="N979" s="1">
        <f t="shared" si="115"/>
        <v>1260</v>
      </c>
      <c r="O979" s="35">
        <v>198.111971369728</v>
      </c>
      <c r="P979" s="35"/>
      <c r="Q979" s="35"/>
      <c r="R979" s="146">
        <f t="shared" si="112"/>
        <v>198.111971369728</v>
      </c>
      <c r="S979" s="2">
        <f t="shared" si="114"/>
        <v>0.17090404707533471</v>
      </c>
    </row>
    <row r="980" spans="1:19" x14ac:dyDescent="0.25">
      <c r="A980" s="230"/>
      <c r="B980" s="230"/>
      <c r="C980" s="230"/>
      <c r="D980" s="230"/>
      <c r="E980" s="230"/>
      <c r="F980" s="221"/>
      <c r="G980" s="222"/>
      <c r="H980" s="221"/>
      <c r="I980" s="222"/>
      <c r="J980" s="230"/>
      <c r="K980" s="43"/>
      <c r="L980" s="241"/>
      <c r="M980" s="43" t="s">
        <v>1206</v>
      </c>
      <c r="N980" s="14">
        <v>400</v>
      </c>
      <c r="O980" s="35">
        <v>23.036275740666099</v>
      </c>
      <c r="P980" s="35"/>
      <c r="Q980" s="35"/>
      <c r="R980" s="146">
        <f t="shared" si="112"/>
        <v>23.036275740666099</v>
      </c>
      <c r="S980" s="2">
        <f t="shared" si="114"/>
        <v>6.2598575382244837E-2</v>
      </c>
    </row>
    <row r="981" spans="1:19" x14ac:dyDescent="0.25">
      <c r="A981" s="230"/>
      <c r="B981" s="230"/>
      <c r="C981" s="230"/>
      <c r="D981" s="230"/>
      <c r="E981" s="230"/>
      <c r="F981" s="221"/>
      <c r="G981" s="222"/>
      <c r="H981" s="221"/>
      <c r="I981" s="222"/>
      <c r="J981" s="230"/>
      <c r="K981" s="43"/>
      <c r="L981" s="241"/>
      <c r="M981" s="43" t="s">
        <v>1207</v>
      </c>
      <c r="N981" s="14">
        <v>400</v>
      </c>
      <c r="O981" s="35">
        <v>34.883503264437202</v>
      </c>
      <c r="P981" s="35"/>
      <c r="Q981" s="35"/>
      <c r="R981" s="146">
        <f t="shared" si="112"/>
        <v>34.883503264437202</v>
      </c>
      <c r="S981" s="2">
        <f t="shared" si="114"/>
        <v>9.4792128435970652E-2</v>
      </c>
    </row>
    <row r="982" spans="1:19" x14ac:dyDescent="0.25">
      <c r="A982" s="230"/>
      <c r="B982" s="230"/>
      <c r="C982" s="230"/>
      <c r="D982" s="230"/>
      <c r="E982" s="230"/>
      <c r="F982" s="221"/>
      <c r="G982" s="222"/>
      <c r="H982" s="221"/>
      <c r="I982" s="222"/>
      <c r="J982" s="230"/>
      <c r="K982" s="43"/>
      <c r="L982" s="241"/>
      <c r="M982" s="43" t="s">
        <v>1208</v>
      </c>
      <c r="N982" s="1">
        <f>2*630</f>
        <v>1260</v>
      </c>
      <c r="O982" s="35">
        <v>0.65817930687617299</v>
      </c>
      <c r="P982" s="35"/>
      <c r="Q982" s="35"/>
      <c r="R982" s="146">
        <f t="shared" si="112"/>
        <v>0.65817930687617299</v>
      </c>
      <c r="S982" s="2">
        <f t="shared" si="114"/>
        <v>5.6778753181174345E-4</v>
      </c>
    </row>
    <row r="983" spans="1:19" x14ac:dyDescent="0.25">
      <c r="A983" s="230"/>
      <c r="B983" s="230"/>
      <c r="C983" s="230"/>
      <c r="D983" s="230"/>
      <c r="E983" s="230"/>
      <c r="F983" s="221"/>
      <c r="G983" s="222"/>
      <c r="H983" s="221"/>
      <c r="I983" s="222"/>
      <c r="J983" s="230"/>
      <c r="K983" s="43"/>
      <c r="L983" s="241"/>
      <c r="M983" s="43" t="s">
        <v>1209</v>
      </c>
      <c r="N983" s="14">
        <v>250</v>
      </c>
      <c r="O983" s="35">
        <v>268.53715720547899</v>
      </c>
      <c r="P983" s="35"/>
      <c r="Q983" s="35"/>
      <c r="R983" s="146">
        <f t="shared" si="112"/>
        <v>268.53715720547899</v>
      </c>
      <c r="S983" s="2">
        <f t="shared" si="114"/>
        <v>1.1675528574151262</v>
      </c>
    </row>
    <row r="984" spans="1:19" x14ac:dyDescent="0.25">
      <c r="A984" s="231"/>
      <c r="B984" s="230"/>
      <c r="C984" s="230"/>
      <c r="D984" s="230"/>
      <c r="E984" s="230"/>
      <c r="F984" s="223"/>
      <c r="G984" s="224"/>
      <c r="H984" s="221"/>
      <c r="I984" s="222"/>
      <c r="J984" s="231"/>
      <c r="K984" s="43"/>
      <c r="L984" s="242"/>
      <c r="M984" s="43" t="s">
        <v>1210</v>
      </c>
      <c r="N984" s="14">
        <f>2*160</f>
        <v>320</v>
      </c>
      <c r="O984" s="35">
        <v>54.628882470722402</v>
      </c>
      <c r="P984" s="35"/>
      <c r="Q984" s="35"/>
      <c r="R984" s="146">
        <f t="shared" si="112"/>
        <v>54.628882470722402</v>
      </c>
      <c r="S984" s="2">
        <f t="shared" si="114"/>
        <v>0.18556006274022552</v>
      </c>
    </row>
    <row r="985" spans="1:19" ht="31.5" x14ac:dyDescent="0.25">
      <c r="A985" s="229">
        <f t="shared" ref="A985" si="116">A974+1</f>
        <v>45</v>
      </c>
      <c r="B985" s="230"/>
      <c r="C985" s="230"/>
      <c r="D985" s="230"/>
      <c r="E985" s="230"/>
      <c r="F985" s="219" t="s">
        <v>13</v>
      </c>
      <c r="G985" s="220"/>
      <c r="H985" s="221"/>
      <c r="I985" s="222"/>
      <c r="J985" s="229"/>
      <c r="K985" s="43"/>
      <c r="L985" s="240">
        <f>SUM(S985:S992)</f>
        <v>1.496271170893988</v>
      </c>
      <c r="M985" s="43" t="s">
        <v>478</v>
      </c>
      <c r="N985" s="160">
        <f>2*1000</f>
        <v>2000</v>
      </c>
      <c r="O985" s="35">
        <v>119.130454544587</v>
      </c>
      <c r="P985" s="35"/>
      <c r="Q985" s="35"/>
      <c r="R985" s="146">
        <f t="shared" si="112"/>
        <v>119.130454544587</v>
      </c>
      <c r="S985" s="2">
        <f t="shared" si="114"/>
        <v>6.4744812252492928E-2</v>
      </c>
    </row>
    <row r="986" spans="1:19" x14ac:dyDescent="0.25">
      <c r="A986" s="230"/>
      <c r="B986" s="230"/>
      <c r="C986" s="230"/>
      <c r="D986" s="230"/>
      <c r="E986" s="230"/>
      <c r="F986" s="221"/>
      <c r="G986" s="222"/>
      <c r="H986" s="221"/>
      <c r="I986" s="222"/>
      <c r="J986" s="230"/>
      <c r="K986" s="43"/>
      <c r="L986" s="241"/>
      <c r="M986" s="43" t="s">
        <v>1211</v>
      </c>
      <c r="N986" s="14">
        <v>630</v>
      </c>
      <c r="O986" s="35">
        <v>32.908965343808703</v>
      </c>
      <c r="P986" s="35"/>
      <c r="Q986" s="35">
        <f>15+15+11+15+10+15+15+15+7+7+15</f>
        <v>140</v>
      </c>
      <c r="R986" s="146">
        <f t="shared" si="112"/>
        <v>172.90896534380869</v>
      </c>
      <c r="S986" s="2">
        <f t="shared" si="114"/>
        <v>0.29832464690098115</v>
      </c>
    </row>
    <row r="987" spans="1:19" x14ac:dyDescent="0.25">
      <c r="A987" s="230"/>
      <c r="B987" s="230"/>
      <c r="C987" s="230"/>
      <c r="D987" s="230"/>
      <c r="E987" s="230"/>
      <c r="F987" s="221"/>
      <c r="G987" s="222"/>
      <c r="H987" s="221"/>
      <c r="I987" s="222"/>
      <c r="J987" s="230"/>
      <c r="K987" s="43"/>
      <c r="L987" s="241"/>
      <c r="M987" s="43" t="s">
        <v>1204</v>
      </c>
      <c r="N987" s="1">
        <f>2*630</f>
        <v>1260</v>
      </c>
      <c r="O987" s="35">
        <v>1.9745379206285201</v>
      </c>
      <c r="P987" s="35"/>
      <c r="Q987" s="35"/>
      <c r="R987" s="146">
        <f t="shared" si="112"/>
        <v>1.9745379206285201</v>
      </c>
      <c r="S987" s="2">
        <f t="shared" si="114"/>
        <v>1.7033625954352312E-3</v>
      </c>
    </row>
    <row r="988" spans="1:19" x14ac:dyDescent="0.25">
      <c r="A988" s="230"/>
      <c r="B988" s="230"/>
      <c r="C988" s="230"/>
      <c r="D988" s="230"/>
      <c r="E988" s="230"/>
      <c r="F988" s="221"/>
      <c r="G988" s="222"/>
      <c r="H988" s="221"/>
      <c r="I988" s="222"/>
      <c r="J988" s="230"/>
      <c r="K988" s="43"/>
      <c r="L988" s="241"/>
      <c r="M988" s="43" t="s">
        <v>1212</v>
      </c>
      <c r="N988" s="14">
        <v>100</v>
      </c>
      <c r="O988" s="35">
        <v>20.4035585131614</v>
      </c>
      <c r="P988" s="35"/>
      <c r="Q988" s="35"/>
      <c r="R988" s="146">
        <f t="shared" si="112"/>
        <v>20.4035585131614</v>
      </c>
      <c r="S988" s="2">
        <f t="shared" si="114"/>
        <v>0.2217778099256674</v>
      </c>
    </row>
    <row r="989" spans="1:19" x14ac:dyDescent="0.25">
      <c r="A989" s="230"/>
      <c r="B989" s="230"/>
      <c r="C989" s="230"/>
      <c r="D989" s="230"/>
      <c r="E989" s="230"/>
      <c r="F989" s="221"/>
      <c r="G989" s="222"/>
      <c r="H989" s="221"/>
      <c r="I989" s="222"/>
      <c r="J989" s="230"/>
      <c r="K989" s="43"/>
      <c r="L989" s="241"/>
      <c r="M989" s="43" t="s">
        <v>1213</v>
      </c>
      <c r="N989" s="14">
        <v>250</v>
      </c>
      <c r="O989" s="35">
        <v>46.072551481332098</v>
      </c>
      <c r="P989" s="35"/>
      <c r="Q989" s="35"/>
      <c r="R989" s="146">
        <f t="shared" si="112"/>
        <v>46.072551481332098</v>
      </c>
      <c r="S989" s="2">
        <f t="shared" si="114"/>
        <v>0.20031544122318304</v>
      </c>
    </row>
    <row r="990" spans="1:19" x14ac:dyDescent="0.25">
      <c r="A990" s="230"/>
      <c r="B990" s="230"/>
      <c r="C990" s="230"/>
      <c r="D990" s="230"/>
      <c r="E990" s="230"/>
      <c r="F990" s="221"/>
      <c r="G990" s="222"/>
      <c r="H990" s="221"/>
      <c r="I990" s="222"/>
      <c r="J990" s="230"/>
      <c r="K990" s="43"/>
      <c r="L990" s="241"/>
      <c r="M990" s="43" t="s">
        <v>1214</v>
      </c>
      <c r="N990" s="14">
        <v>160</v>
      </c>
      <c r="O990" s="35">
        <v>13.163586137523501</v>
      </c>
      <c r="P990" s="35"/>
      <c r="Q990" s="35"/>
      <c r="R990" s="146">
        <f t="shared" si="112"/>
        <v>13.163586137523501</v>
      </c>
      <c r="S990" s="2">
        <f t="shared" si="114"/>
        <v>8.9426536260349854E-2</v>
      </c>
    </row>
    <row r="991" spans="1:19" x14ac:dyDescent="0.25">
      <c r="A991" s="230"/>
      <c r="B991" s="230"/>
      <c r="C991" s="230"/>
      <c r="D991" s="230"/>
      <c r="E991" s="230"/>
      <c r="F991" s="221"/>
      <c r="G991" s="222"/>
      <c r="H991" s="221"/>
      <c r="I991" s="222"/>
      <c r="J991" s="230"/>
      <c r="K991" s="43"/>
      <c r="L991" s="241"/>
      <c r="M991" s="43" t="s">
        <v>1215</v>
      </c>
      <c r="N991" s="14">
        <f>2*250</f>
        <v>500</v>
      </c>
      <c r="O991" s="35">
        <v>194.82107483534699</v>
      </c>
      <c r="P991" s="35"/>
      <c r="Q991" s="35"/>
      <c r="R991" s="146">
        <f t="shared" si="112"/>
        <v>194.82107483534699</v>
      </c>
      <c r="S991" s="2">
        <f t="shared" si="114"/>
        <v>0.42352407572901518</v>
      </c>
    </row>
    <row r="992" spans="1:19" x14ac:dyDescent="0.25">
      <c r="A992" s="231"/>
      <c r="B992" s="230"/>
      <c r="C992" s="230"/>
      <c r="D992" s="230"/>
      <c r="E992" s="230"/>
      <c r="F992" s="223"/>
      <c r="G992" s="224"/>
      <c r="H992" s="221"/>
      <c r="I992" s="222"/>
      <c r="J992" s="231"/>
      <c r="K992" s="43"/>
      <c r="L992" s="242"/>
      <c r="M992" s="43" t="s">
        <v>1208</v>
      </c>
      <c r="N992" s="1">
        <f>2*630</f>
        <v>1260</v>
      </c>
      <c r="O992" s="35">
        <v>227.73004017915599</v>
      </c>
      <c r="P992" s="35"/>
      <c r="Q992" s="35"/>
      <c r="R992" s="146">
        <f t="shared" ref="R992:R1055" si="117">O992+P992+Q992</f>
        <v>227.73004017915599</v>
      </c>
      <c r="S992" s="2">
        <f t="shared" si="114"/>
        <v>0.19645448600686333</v>
      </c>
    </row>
    <row r="993" spans="1:19" ht="31.5" x14ac:dyDescent="0.25">
      <c r="A993" s="229">
        <v>46</v>
      </c>
      <c r="B993" s="230"/>
      <c r="C993" s="230"/>
      <c r="D993" s="230"/>
      <c r="E993" s="230"/>
      <c r="F993" s="219" t="s">
        <v>14</v>
      </c>
      <c r="G993" s="220"/>
      <c r="H993" s="221"/>
      <c r="I993" s="222"/>
      <c r="J993" s="229"/>
      <c r="K993" s="43"/>
      <c r="L993" s="240">
        <f>SUM(S993:S997)</f>
        <v>0.9707718241985499</v>
      </c>
      <c r="M993" s="43" t="s">
        <v>494</v>
      </c>
      <c r="N993" s="14">
        <f>2*630</f>
        <v>1260</v>
      </c>
      <c r="O993" s="35">
        <v>138.217654443996</v>
      </c>
      <c r="P993" s="35"/>
      <c r="Q993" s="35"/>
      <c r="R993" s="146">
        <f t="shared" si="117"/>
        <v>138.217654443996</v>
      </c>
      <c r="S993" s="2">
        <f t="shared" si="114"/>
        <v>0.11923538168046584</v>
      </c>
    </row>
    <row r="994" spans="1:19" x14ac:dyDescent="0.25">
      <c r="A994" s="230"/>
      <c r="B994" s="230"/>
      <c r="C994" s="230"/>
      <c r="D994" s="230"/>
      <c r="E994" s="230"/>
      <c r="F994" s="221"/>
      <c r="G994" s="222"/>
      <c r="H994" s="221"/>
      <c r="I994" s="222"/>
      <c r="J994" s="230"/>
      <c r="K994" s="43"/>
      <c r="L994" s="241"/>
      <c r="M994" s="43" t="s">
        <v>1216</v>
      </c>
      <c r="N994" s="14">
        <v>100</v>
      </c>
      <c r="O994" s="35">
        <v>23.694455047542199</v>
      </c>
      <c r="P994" s="35"/>
      <c r="Q994" s="35"/>
      <c r="R994" s="146">
        <f t="shared" si="117"/>
        <v>23.694455047542199</v>
      </c>
      <c r="S994" s="2">
        <f t="shared" si="114"/>
        <v>0.25754842442980652</v>
      </c>
    </row>
    <row r="995" spans="1:19" x14ac:dyDescent="0.25">
      <c r="A995" s="230"/>
      <c r="B995" s="230"/>
      <c r="C995" s="230"/>
      <c r="D995" s="230"/>
      <c r="E995" s="230"/>
      <c r="F995" s="221"/>
      <c r="G995" s="222"/>
      <c r="H995" s="221"/>
      <c r="I995" s="222"/>
      <c r="J995" s="230"/>
      <c r="K995" s="43"/>
      <c r="L995" s="241"/>
      <c r="M995" s="43" t="s">
        <v>1217</v>
      </c>
      <c r="N995" s="14">
        <v>250</v>
      </c>
      <c r="O995" s="35">
        <v>44.756192867579799</v>
      </c>
      <c r="P995" s="35"/>
      <c r="Q995" s="35">
        <f>10</f>
        <v>10</v>
      </c>
      <c r="R995" s="146">
        <f t="shared" si="117"/>
        <v>54.756192867579799</v>
      </c>
      <c r="S995" s="2">
        <f t="shared" si="114"/>
        <v>0.23807040377208608</v>
      </c>
    </row>
    <row r="996" spans="1:19" x14ac:dyDescent="0.25">
      <c r="A996" s="230"/>
      <c r="B996" s="230"/>
      <c r="C996" s="230"/>
      <c r="D996" s="230"/>
      <c r="E996" s="230"/>
      <c r="F996" s="221"/>
      <c r="G996" s="222"/>
      <c r="H996" s="221"/>
      <c r="I996" s="222"/>
      <c r="J996" s="230"/>
      <c r="K996" s="43"/>
      <c r="L996" s="241"/>
      <c r="M996" s="43" t="s">
        <v>1218</v>
      </c>
      <c r="N996" s="1">
        <f>2*1000</f>
        <v>2000</v>
      </c>
      <c r="O996" s="35">
        <v>546.9470040141</v>
      </c>
      <c r="P996" s="35"/>
      <c r="Q996" s="35"/>
      <c r="R996" s="146">
        <f t="shared" si="117"/>
        <v>546.9470040141</v>
      </c>
      <c r="S996" s="2">
        <f t="shared" si="114"/>
        <v>0.2972538065294022</v>
      </c>
    </row>
    <row r="997" spans="1:19" x14ac:dyDescent="0.25">
      <c r="A997" s="231"/>
      <c r="B997" s="230"/>
      <c r="C997" s="230"/>
      <c r="D997" s="230"/>
      <c r="E997" s="230"/>
      <c r="F997" s="223"/>
      <c r="G997" s="224"/>
      <c r="H997" s="221"/>
      <c r="I997" s="222"/>
      <c r="J997" s="231"/>
      <c r="K997" s="43"/>
      <c r="L997" s="242"/>
      <c r="M997" s="43" t="s">
        <v>1200</v>
      </c>
      <c r="N997" s="14">
        <f>2*250</f>
        <v>500</v>
      </c>
      <c r="O997" s="35">
        <v>26.985351581923101</v>
      </c>
      <c r="P997" s="35"/>
      <c r="Q997" s="35"/>
      <c r="R997" s="146">
        <f t="shared" si="117"/>
        <v>26.985351581923101</v>
      </c>
      <c r="S997" s="2">
        <f t="shared" si="114"/>
        <v>5.8663807786789347E-2</v>
      </c>
    </row>
    <row r="998" spans="1:19" ht="31.5" x14ac:dyDescent="0.25">
      <c r="A998" s="229">
        <v>47</v>
      </c>
      <c r="B998" s="230"/>
      <c r="C998" s="230"/>
      <c r="D998" s="230"/>
      <c r="E998" s="230"/>
      <c r="F998" s="219" t="s">
        <v>15</v>
      </c>
      <c r="G998" s="220"/>
      <c r="H998" s="221"/>
      <c r="I998" s="222"/>
      <c r="J998" s="229"/>
      <c r="K998" s="43"/>
      <c r="L998" s="240">
        <f>SUM(S998:S1025)</f>
        <v>7.2949611786250417</v>
      </c>
      <c r="M998" s="43" t="s">
        <v>486</v>
      </c>
      <c r="N998" s="14">
        <f>2*1600</f>
        <v>3200</v>
      </c>
      <c r="O998" s="35">
        <v>40.8071170263228</v>
      </c>
      <c r="P998" s="35"/>
      <c r="Q998" s="35"/>
      <c r="R998" s="146">
        <f t="shared" si="117"/>
        <v>40.8071170263228</v>
      </c>
      <c r="S998" s="2">
        <f t="shared" si="114"/>
        <v>1.3861113120354212E-2</v>
      </c>
    </row>
    <row r="999" spans="1:19" ht="31.5" x14ac:dyDescent="0.25">
      <c r="A999" s="230"/>
      <c r="B999" s="230"/>
      <c r="C999" s="230"/>
      <c r="D999" s="230"/>
      <c r="E999" s="230"/>
      <c r="F999" s="221"/>
      <c r="G999" s="222"/>
      <c r="H999" s="221"/>
      <c r="I999" s="222"/>
      <c r="J999" s="230"/>
      <c r="K999" s="43"/>
      <c r="L999" s="241"/>
      <c r="M999" s="43" t="s">
        <v>529</v>
      </c>
      <c r="N999" s="14">
        <f>2*630</f>
        <v>1260</v>
      </c>
      <c r="O999" s="35">
        <v>122.421351078968</v>
      </c>
      <c r="P999" s="35"/>
      <c r="Q999" s="35"/>
      <c r="R999" s="146">
        <f t="shared" si="117"/>
        <v>122.421351078968</v>
      </c>
      <c r="S999" s="2">
        <f t="shared" si="114"/>
        <v>0.10560848091698412</v>
      </c>
    </row>
    <row r="1000" spans="1:19" x14ac:dyDescent="0.25">
      <c r="A1000" s="230"/>
      <c r="B1000" s="230"/>
      <c r="C1000" s="230"/>
      <c r="D1000" s="230"/>
      <c r="E1000" s="230"/>
      <c r="F1000" s="221"/>
      <c r="G1000" s="222"/>
      <c r="H1000" s="221"/>
      <c r="I1000" s="222"/>
      <c r="J1000" s="230"/>
      <c r="K1000" s="43"/>
      <c r="L1000" s="241"/>
      <c r="M1000" s="43" t="s">
        <v>531</v>
      </c>
      <c r="N1000" s="3">
        <f>2*400</f>
        <v>800</v>
      </c>
      <c r="O1000" s="35">
        <v>148.09034404713901</v>
      </c>
      <c r="P1000" s="35"/>
      <c r="Q1000" s="35"/>
      <c r="R1000" s="146">
        <f t="shared" si="117"/>
        <v>148.09034404713901</v>
      </c>
      <c r="S1000" s="2">
        <f t="shared" si="114"/>
        <v>0.20120970658578671</v>
      </c>
    </row>
    <row r="1001" spans="1:19" x14ac:dyDescent="0.25">
      <c r="A1001" s="230"/>
      <c r="B1001" s="230"/>
      <c r="C1001" s="230"/>
      <c r="D1001" s="230"/>
      <c r="E1001" s="230"/>
      <c r="F1001" s="221"/>
      <c r="G1001" s="222"/>
      <c r="H1001" s="221"/>
      <c r="I1001" s="222"/>
      <c r="J1001" s="230"/>
      <c r="K1001" s="43"/>
      <c r="L1001" s="241"/>
      <c r="M1001" s="43" t="s">
        <v>1219</v>
      </c>
      <c r="N1001" s="14">
        <v>400</v>
      </c>
      <c r="O1001" s="35">
        <v>27.643530888799301</v>
      </c>
      <c r="P1001" s="35"/>
      <c r="Q1001" s="35"/>
      <c r="R1001" s="146">
        <f t="shared" si="117"/>
        <v>27.643530888799301</v>
      </c>
      <c r="S1001" s="2">
        <f t="shared" si="114"/>
        <v>7.5118290458693754E-2</v>
      </c>
    </row>
    <row r="1002" spans="1:19" x14ac:dyDescent="0.25">
      <c r="A1002" s="230"/>
      <c r="B1002" s="230"/>
      <c r="C1002" s="230"/>
      <c r="D1002" s="230"/>
      <c r="E1002" s="230"/>
      <c r="F1002" s="221"/>
      <c r="G1002" s="222"/>
      <c r="H1002" s="221"/>
      <c r="I1002" s="222"/>
      <c r="J1002" s="230"/>
      <c r="K1002" s="43"/>
      <c r="L1002" s="241"/>
      <c r="M1002" s="43" t="s">
        <v>1220</v>
      </c>
      <c r="N1002" s="14">
        <v>250</v>
      </c>
      <c r="O1002" s="35">
        <v>25.010813661294598</v>
      </c>
      <c r="P1002" s="35"/>
      <c r="Q1002" s="35"/>
      <c r="R1002" s="146">
        <f t="shared" si="117"/>
        <v>25.010813661294598</v>
      </c>
      <c r="S1002" s="2">
        <f t="shared" si="114"/>
        <v>0.1087426680925852</v>
      </c>
    </row>
    <row r="1003" spans="1:19" x14ac:dyDescent="0.25">
      <c r="A1003" s="230"/>
      <c r="B1003" s="230"/>
      <c r="C1003" s="230"/>
      <c r="D1003" s="230"/>
      <c r="E1003" s="230"/>
      <c r="F1003" s="221"/>
      <c r="G1003" s="222"/>
      <c r="H1003" s="221"/>
      <c r="I1003" s="222"/>
      <c r="J1003" s="230"/>
      <c r="K1003" s="43"/>
      <c r="L1003" s="241"/>
      <c r="M1003" s="43" t="s">
        <v>1221</v>
      </c>
      <c r="N1003" s="14">
        <v>25</v>
      </c>
      <c r="O1003" s="35">
        <v>7.23997237563791</v>
      </c>
      <c r="P1003" s="35"/>
      <c r="Q1003" s="35"/>
      <c r="R1003" s="146">
        <f t="shared" si="117"/>
        <v>7.23997237563791</v>
      </c>
      <c r="S1003" s="2">
        <f t="shared" si="114"/>
        <v>0.31478140763643087</v>
      </c>
    </row>
    <row r="1004" spans="1:19" x14ac:dyDescent="0.25">
      <c r="A1004" s="230"/>
      <c r="B1004" s="230"/>
      <c r="C1004" s="230"/>
      <c r="D1004" s="230"/>
      <c r="E1004" s="230"/>
      <c r="F1004" s="221"/>
      <c r="G1004" s="222"/>
      <c r="H1004" s="221"/>
      <c r="I1004" s="222"/>
      <c r="J1004" s="230"/>
      <c r="K1004" s="43"/>
      <c r="L1004" s="241"/>
      <c r="M1004" s="43" t="s">
        <v>1222</v>
      </c>
      <c r="N1004" s="3">
        <f>2*400</f>
        <v>800</v>
      </c>
      <c r="O1004" s="35">
        <v>238.26090908917499</v>
      </c>
      <c r="P1004" s="35"/>
      <c r="Q1004" s="35"/>
      <c r="R1004" s="146">
        <f t="shared" si="117"/>
        <v>238.26090908917499</v>
      </c>
      <c r="S1004" s="2">
        <f t="shared" si="114"/>
        <v>0.323724061262466</v>
      </c>
    </row>
    <row r="1005" spans="1:19" x14ac:dyDescent="0.25">
      <c r="A1005" s="230"/>
      <c r="B1005" s="230"/>
      <c r="C1005" s="230"/>
      <c r="D1005" s="230"/>
      <c r="E1005" s="230"/>
      <c r="F1005" s="221"/>
      <c r="G1005" s="222"/>
      <c r="H1005" s="221"/>
      <c r="I1005" s="222"/>
      <c r="J1005" s="230"/>
      <c r="K1005" s="43"/>
      <c r="L1005" s="241"/>
      <c r="M1005" s="43" t="s">
        <v>1218</v>
      </c>
      <c r="N1005" s="1">
        <f>2*1000</f>
        <v>2000</v>
      </c>
      <c r="O1005" s="35">
        <v>395.56576343258001</v>
      </c>
      <c r="P1005" s="35"/>
      <c r="Q1005" s="35"/>
      <c r="R1005" s="146">
        <f t="shared" si="117"/>
        <v>395.56576343258001</v>
      </c>
      <c r="S1005" s="2">
        <f t="shared" si="114"/>
        <v>0.21498139316988044</v>
      </c>
    </row>
    <row r="1006" spans="1:19" x14ac:dyDescent="0.25">
      <c r="A1006" s="230"/>
      <c r="B1006" s="230"/>
      <c r="C1006" s="230"/>
      <c r="D1006" s="230"/>
      <c r="E1006" s="230"/>
      <c r="F1006" s="221"/>
      <c r="G1006" s="222"/>
      <c r="H1006" s="221"/>
      <c r="I1006" s="222"/>
      <c r="J1006" s="230"/>
      <c r="K1006" s="43"/>
      <c r="L1006" s="241"/>
      <c r="M1006" s="43" t="s">
        <v>1223</v>
      </c>
      <c r="N1006" s="14">
        <v>63</v>
      </c>
      <c r="O1006" s="35">
        <v>19.087199899409001</v>
      </c>
      <c r="P1006" s="35"/>
      <c r="Q1006" s="35"/>
      <c r="R1006" s="146">
        <f t="shared" si="117"/>
        <v>19.087199899409001</v>
      </c>
      <c r="S1006" s="2">
        <f t="shared" si="114"/>
        <v>0.32931676845081093</v>
      </c>
    </row>
    <row r="1007" spans="1:19" x14ac:dyDescent="0.25">
      <c r="A1007" s="230"/>
      <c r="B1007" s="230"/>
      <c r="C1007" s="230"/>
      <c r="D1007" s="230"/>
      <c r="E1007" s="230"/>
      <c r="F1007" s="221"/>
      <c r="G1007" s="222"/>
      <c r="H1007" s="221"/>
      <c r="I1007" s="222"/>
      <c r="J1007" s="230"/>
      <c r="K1007" s="43"/>
      <c r="L1007" s="241"/>
      <c r="M1007" s="43" t="s">
        <v>1224</v>
      </c>
      <c r="N1007" s="14">
        <v>250</v>
      </c>
      <c r="O1007" s="35">
        <v>61.2106755394841</v>
      </c>
      <c r="P1007" s="35"/>
      <c r="Q1007" s="35"/>
      <c r="R1007" s="146">
        <f t="shared" si="117"/>
        <v>61.2106755394841</v>
      </c>
      <c r="S1007" s="2">
        <f t="shared" si="114"/>
        <v>0.26613337191080044</v>
      </c>
    </row>
    <row r="1008" spans="1:19" x14ac:dyDescent="0.25">
      <c r="A1008" s="230"/>
      <c r="B1008" s="230"/>
      <c r="C1008" s="230"/>
      <c r="D1008" s="230"/>
      <c r="E1008" s="230"/>
      <c r="F1008" s="221"/>
      <c r="G1008" s="222"/>
      <c r="H1008" s="221"/>
      <c r="I1008" s="222"/>
      <c r="J1008" s="230"/>
      <c r="K1008" s="43"/>
      <c r="L1008" s="241"/>
      <c r="M1008" s="43" t="s">
        <v>1225</v>
      </c>
      <c r="N1008" s="14">
        <v>400</v>
      </c>
      <c r="O1008" s="35">
        <v>34.883503264437202</v>
      </c>
      <c r="P1008" s="35"/>
      <c r="Q1008" s="35"/>
      <c r="R1008" s="146">
        <f t="shared" si="117"/>
        <v>34.883503264437202</v>
      </c>
      <c r="S1008" s="2">
        <f t="shared" si="114"/>
        <v>9.4792128435970652E-2</v>
      </c>
    </row>
    <row r="1009" spans="1:19" x14ac:dyDescent="0.25">
      <c r="A1009" s="230"/>
      <c r="B1009" s="230"/>
      <c r="C1009" s="230"/>
      <c r="D1009" s="230"/>
      <c r="E1009" s="230"/>
      <c r="F1009" s="221"/>
      <c r="G1009" s="222"/>
      <c r="H1009" s="221"/>
      <c r="I1009" s="222"/>
      <c r="J1009" s="230"/>
      <c r="K1009" s="43"/>
      <c r="L1009" s="241"/>
      <c r="M1009" s="43" t="s">
        <v>1226</v>
      </c>
      <c r="N1009" s="14">
        <v>400</v>
      </c>
      <c r="O1009" s="35">
        <v>24.352634354418399</v>
      </c>
      <c r="P1009" s="35"/>
      <c r="Q1009" s="35"/>
      <c r="R1009" s="146">
        <f t="shared" si="117"/>
        <v>24.352634354418399</v>
      </c>
      <c r="S1009" s="2">
        <f t="shared" si="114"/>
        <v>6.6175636832658688E-2</v>
      </c>
    </row>
    <row r="1010" spans="1:19" x14ac:dyDescent="0.25">
      <c r="A1010" s="230"/>
      <c r="B1010" s="230"/>
      <c r="C1010" s="230"/>
      <c r="D1010" s="230"/>
      <c r="E1010" s="230"/>
      <c r="F1010" s="221"/>
      <c r="G1010" s="222"/>
      <c r="H1010" s="221"/>
      <c r="I1010" s="222"/>
      <c r="J1010" s="230"/>
      <c r="K1010" s="43"/>
      <c r="L1010" s="241"/>
      <c r="M1010" s="43" t="s">
        <v>1227</v>
      </c>
      <c r="N1010" s="14">
        <v>100</v>
      </c>
      <c r="O1010" s="35">
        <v>30.276248116304</v>
      </c>
      <c r="P1010" s="35"/>
      <c r="Q1010" s="35"/>
      <c r="R1010" s="146">
        <f t="shared" si="117"/>
        <v>30.276248116304</v>
      </c>
      <c r="S1010" s="2">
        <f t="shared" si="114"/>
        <v>0.32908965343808694</v>
      </c>
    </row>
    <row r="1011" spans="1:19" x14ac:dyDescent="0.25">
      <c r="A1011" s="230"/>
      <c r="B1011" s="230"/>
      <c r="C1011" s="230"/>
      <c r="D1011" s="230"/>
      <c r="E1011" s="230"/>
      <c r="F1011" s="221"/>
      <c r="G1011" s="222"/>
      <c r="H1011" s="221"/>
      <c r="I1011" s="222"/>
      <c r="J1011" s="230"/>
      <c r="K1011" s="43"/>
      <c r="L1011" s="241"/>
      <c r="M1011" s="43" t="s">
        <v>1228</v>
      </c>
      <c r="N1011" s="14">
        <v>100</v>
      </c>
      <c r="O1011" s="35">
        <v>20.4035585131614</v>
      </c>
      <c r="P1011" s="35"/>
      <c r="Q1011" s="35"/>
      <c r="R1011" s="146">
        <f t="shared" si="117"/>
        <v>20.4035585131614</v>
      </c>
      <c r="S1011" s="2">
        <f t="shared" si="114"/>
        <v>0.2217778099256674</v>
      </c>
    </row>
    <row r="1012" spans="1:19" x14ac:dyDescent="0.25">
      <c r="A1012" s="230"/>
      <c r="B1012" s="230"/>
      <c r="C1012" s="230"/>
      <c r="D1012" s="230"/>
      <c r="E1012" s="230"/>
      <c r="F1012" s="221"/>
      <c r="G1012" s="222"/>
      <c r="H1012" s="221"/>
      <c r="I1012" s="222"/>
      <c r="J1012" s="230"/>
      <c r="K1012" s="43"/>
      <c r="L1012" s="241"/>
      <c r="M1012" s="43" t="s">
        <v>1229</v>
      </c>
      <c r="N1012" s="14">
        <v>100</v>
      </c>
      <c r="O1012" s="35">
        <v>36.858041185065701</v>
      </c>
      <c r="P1012" s="35"/>
      <c r="Q1012" s="35"/>
      <c r="R1012" s="146">
        <f t="shared" si="117"/>
        <v>36.858041185065701</v>
      </c>
      <c r="S1012" s="2">
        <f t="shared" si="114"/>
        <v>0.4006308824463663</v>
      </c>
    </row>
    <row r="1013" spans="1:19" x14ac:dyDescent="0.25">
      <c r="A1013" s="230"/>
      <c r="B1013" s="230"/>
      <c r="C1013" s="230"/>
      <c r="D1013" s="230"/>
      <c r="E1013" s="230"/>
      <c r="F1013" s="221"/>
      <c r="G1013" s="222"/>
      <c r="H1013" s="221"/>
      <c r="I1013" s="222"/>
      <c r="J1013" s="230"/>
      <c r="K1013" s="43"/>
      <c r="L1013" s="241"/>
      <c r="M1013" s="43" t="s">
        <v>1230</v>
      </c>
      <c r="N1013" s="14">
        <v>25</v>
      </c>
      <c r="O1013" s="35">
        <v>5.2654344550093901</v>
      </c>
      <c r="P1013" s="35"/>
      <c r="Q1013" s="35"/>
      <c r="R1013" s="146">
        <f t="shared" si="117"/>
        <v>5.2654344550093901</v>
      </c>
      <c r="S1013" s="2">
        <f t="shared" si="114"/>
        <v>0.22893193282649521</v>
      </c>
    </row>
    <row r="1014" spans="1:19" x14ac:dyDescent="0.25">
      <c r="A1014" s="230"/>
      <c r="B1014" s="230"/>
      <c r="C1014" s="230"/>
      <c r="D1014" s="230"/>
      <c r="E1014" s="230"/>
      <c r="F1014" s="221"/>
      <c r="G1014" s="222"/>
      <c r="H1014" s="221"/>
      <c r="I1014" s="222"/>
      <c r="J1014" s="230"/>
      <c r="K1014" s="43"/>
      <c r="L1014" s="241"/>
      <c r="M1014" s="43" t="s">
        <v>1231</v>
      </c>
      <c r="N1014" s="14">
        <v>25</v>
      </c>
      <c r="O1014" s="35">
        <v>11.1890482168949</v>
      </c>
      <c r="P1014" s="35"/>
      <c r="Q1014" s="35"/>
      <c r="R1014" s="146">
        <f t="shared" si="117"/>
        <v>11.1890482168949</v>
      </c>
      <c r="S1014" s="2">
        <f t="shared" si="114"/>
        <v>0.48648035725630001</v>
      </c>
    </row>
    <row r="1015" spans="1:19" x14ac:dyDescent="0.25">
      <c r="A1015" s="230"/>
      <c r="B1015" s="230"/>
      <c r="C1015" s="230"/>
      <c r="D1015" s="230"/>
      <c r="E1015" s="230"/>
      <c r="F1015" s="221"/>
      <c r="G1015" s="222"/>
      <c r="H1015" s="221"/>
      <c r="I1015" s="222"/>
      <c r="J1015" s="230"/>
      <c r="K1015" s="43"/>
      <c r="L1015" s="241"/>
      <c r="M1015" s="43" t="s">
        <v>1232</v>
      </c>
      <c r="N1015" s="14">
        <v>400</v>
      </c>
      <c r="O1015" s="35">
        <v>30.276248116304</v>
      </c>
      <c r="P1015" s="35"/>
      <c r="Q1015" s="35"/>
      <c r="R1015" s="146">
        <f t="shared" si="117"/>
        <v>30.276248116304</v>
      </c>
      <c r="S1015" s="2">
        <f t="shared" si="114"/>
        <v>8.2272413359521734E-2</v>
      </c>
    </row>
    <row r="1016" spans="1:19" x14ac:dyDescent="0.25">
      <c r="A1016" s="230"/>
      <c r="B1016" s="230"/>
      <c r="C1016" s="230"/>
      <c r="D1016" s="230"/>
      <c r="E1016" s="230"/>
      <c r="F1016" s="221"/>
      <c r="G1016" s="222"/>
      <c r="H1016" s="221"/>
      <c r="I1016" s="222"/>
      <c r="J1016" s="230"/>
      <c r="K1016" s="43"/>
      <c r="L1016" s="241"/>
      <c r="M1016" s="43" t="s">
        <v>1233</v>
      </c>
      <c r="N1016" s="14">
        <v>100</v>
      </c>
      <c r="O1016" s="35">
        <v>34.225323957561002</v>
      </c>
      <c r="P1016" s="35"/>
      <c r="Q1016" s="35"/>
      <c r="R1016" s="146">
        <f t="shared" si="117"/>
        <v>34.225323957561002</v>
      </c>
      <c r="S1016" s="2">
        <f t="shared" si="114"/>
        <v>0.37201439084305438</v>
      </c>
    </row>
    <row r="1017" spans="1:19" x14ac:dyDescent="0.25">
      <c r="A1017" s="230"/>
      <c r="B1017" s="230"/>
      <c r="C1017" s="230"/>
      <c r="D1017" s="230"/>
      <c r="E1017" s="230"/>
      <c r="F1017" s="221"/>
      <c r="G1017" s="222"/>
      <c r="H1017" s="221"/>
      <c r="I1017" s="222"/>
      <c r="J1017" s="230"/>
      <c r="K1017" s="43"/>
      <c r="L1017" s="241"/>
      <c r="M1017" s="43" t="s">
        <v>1234</v>
      </c>
      <c r="N1017" s="14">
        <v>63</v>
      </c>
      <c r="O1017" s="35">
        <v>24.352634354418399</v>
      </c>
      <c r="P1017" s="35"/>
      <c r="Q1017" s="35"/>
      <c r="R1017" s="146">
        <f t="shared" si="117"/>
        <v>24.352634354418399</v>
      </c>
      <c r="S1017" s="2">
        <f t="shared" si="114"/>
        <v>0.42016277354069009</v>
      </c>
    </row>
    <row r="1018" spans="1:19" x14ac:dyDescent="0.25">
      <c r="A1018" s="230"/>
      <c r="B1018" s="230"/>
      <c r="C1018" s="230"/>
      <c r="D1018" s="230"/>
      <c r="E1018" s="230"/>
      <c r="F1018" s="221"/>
      <c r="G1018" s="222"/>
      <c r="H1018" s="221"/>
      <c r="I1018" s="222"/>
      <c r="J1018" s="230"/>
      <c r="K1018" s="43"/>
      <c r="L1018" s="241"/>
      <c r="M1018" s="43" t="s">
        <v>1235</v>
      </c>
      <c r="N1018" s="14">
        <v>160</v>
      </c>
      <c r="O1018" s="35">
        <v>102.67597187268299</v>
      </c>
      <c r="P1018" s="35"/>
      <c r="Q1018" s="35"/>
      <c r="R1018" s="146">
        <f t="shared" si="117"/>
        <v>102.67597187268299</v>
      </c>
      <c r="S1018" s="2">
        <f t="shared" si="114"/>
        <v>0.69752698283072678</v>
      </c>
    </row>
    <row r="1019" spans="1:19" x14ac:dyDescent="0.25">
      <c r="A1019" s="230"/>
      <c r="B1019" s="230"/>
      <c r="C1019" s="230"/>
      <c r="D1019" s="230"/>
      <c r="E1019" s="230"/>
      <c r="F1019" s="221"/>
      <c r="G1019" s="222"/>
      <c r="H1019" s="221"/>
      <c r="I1019" s="222"/>
      <c r="J1019" s="230"/>
      <c r="K1019" s="43"/>
      <c r="L1019" s="241"/>
      <c r="M1019" s="43" t="s">
        <v>1236</v>
      </c>
      <c r="N1019" s="14">
        <v>25</v>
      </c>
      <c r="O1019" s="35">
        <v>5.2654344550093901</v>
      </c>
      <c r="P1019" s="35"/>
      <c r="Q1019" s="35"/>
      <c r="R1019" s="146">
        <f t="shared" si="117"/>
        <v>5.2654344550093901</v>
      </c>
      <c r="S1019" s="2">
        <f t="shared" si="114"/>
        <v>0.22893193282649521</v>
      </c>
    </row>
    <row r="1020" spans="1:19" x14ac:dyDescent="0.25">
      <c r="A1020" s="230"/>
      <c r="B1020" s="230"/>
      <c r="C1020" s="230"/>
      <c r="D1020" s="230"/>
      <c r="E1020" s="230"/>
      <c r="F1020" s="221"/>
      <c r="G1020" s="222"/>
      <c r="H1020" s="221"/>
      <c r="I1020" s="222"/>
      <c r="J1020" s="230"/>
      <c r="K1020" s="43"/>
      <c r="L1020" s="241"/>
      <c r="M1020" s="43" t="s">
        <v>1237</v>
      </c>
      <c r="N1020" s="14">
        <v>250</v>
      </c>
      <c r="O1020" s="35">
        <v>180.99930939094801</v>
      </c>
      <c r="P1020" s="35"/>
      <c r="Q1020" s="35"/>
      <c r="R1020" s="146">
        <f t="shared" si="117"/>
        <v>180.99930939094801</v>
      </c>
      <c r="S1020" s="2">
        <f t="shared" si="114"/>
        <v>0.78695351909107836</v>
      </c>
    </row>
    <row r="1021" spans="1:19" x14ac:dyDescent="0.25">
      <c r="A1021" s="230"/>
      <c r="B1021" s="230"/>
      <c r="C1021" s="230"/>
      <c r="D1021" s="230"/>
      <c r="E1021" s="230"/>
      <c r="F1021" s="221"/>
      <c r="G1021" s="222"/>
      <c r="H1021" s="221"/>
      <c r="I1021" s="222"/>
      <c r="J1021" s="230"/>
      <c r="K1021" s="43"/>
      <c r="L1021" s="241"/>
      <c r="M1021" s="43" t="s">
        <v>1238</v>
      </c>
      <c r="N1021" s="14">
        <v>250</v>
      </c>
      <c r="O1021" s="35">
        <v>103.99233048643499</v>
      </c>
      <c r="P1021" s="35"/>
      <c r="Q1021" s="35"/>
      <c r="R1021" s="146">
        <f t="shared" si="117"/>
        <v>103.99233048643499</v>
      </c>
      <c r="S1021" s="2">
        <f t="shared" si="114"/>
        <v>0.45214056733232605</v>
      </c>
    </row>
    <row r="1022" spans="1:19" x14ac:dyDescent="0.25">
      <c r="A1022" s="230"/>
      <c r="B1022" s="230"/>
      <c r="C1022" s="230"/>
      <c r="D1022" s="230"/>
      <c r="E1022" s="230"/>
      <c r="F1022" s="221"/>
      <c r="G1022" s="222"/>
      <c r="H1022" s="221"/>
      <c r="I1022" s="222"/>
      <c r="J1022" s="230"/>
      <c r="K1022" s="43"/>
      <c r="L1022" s="241"/>
      <c r="M1022" s="43" t="s">
        <v>535</v>
      </c>
      <c r="N1022" s="3">
        <f t="shared" ref="N1022:N1023" si="118">2*250</f>
        <v>500</v>
      </c>
      <c r="O1022" s="35">
        <v>94.777820190168995</v>
      </c>
      <c r="P1022" s="35"/>
      <c r="Q1022" s="35"/>
      <c r="R1022" s="146">
        <f t="shared" si="117"/>
        <v>94.777820190168995</v>
      </c>
      <c r="S1022" s="2">
        <f t="shared" si="114"/>
        <v>0.20603873954384563</v>
      </c>
    </row>
    <row r="1023" spans="1:19" x14ac:dyDescent="0.25">
      <c r="A1023" s="230"/>
      <c r="B1023" s="230"/>
      <c r="C1023" s="230"/>
      <c r="D1023" s="230"/>
      <c r="E1023" s="230"/>
      <c r="F1023" s="221"/>
      <c r="G1023" s="222"/>
      <c r="H1023" s="221"/>
      <c r="I1023" s="222"/>
      <c r="J1023" s="230"/>
      <c r="K1023" s="43"/>
      <c r="L1023" s="241"/>
      <c r="M1023" s="43" t="s">
        <v>536</v>
      </c>
      <c r="N1023" s="3">
        <f t="shared" si="118"/>
        <v>500</v>
      </c>
      <c r="O1023" s="35">
        <v>68.450647915122005</v>
      </c>
      <c r="P1023" s="35"/>
      <c r="Q1023" s="35"/>
      <c r="R1023" s="146">
        <f t="shared" si="117"/>
        <v>68.450647915122005</v>
      </c>
      <c r="S1023" s="2">
        <f t="shared" si="114"/>
        <v>0.14880575633722176</v>
      </c>
    </row>
    <row r="1024" spans="1:19" x14ac:dyDescent="0.25">
      <c r="A1024" s="230"/>
      <c r="B1024" s="230"/>
      <c r="C1024" s="230"/>
      <c r="D1024" s="230"/>
      <c r="E1024" s="230"/>
      <c r="F1024" s="221"/>
      <c r="G1024" s="222"/>
      <c r="H1024" s="221"/>
      <c r="I1024" s="222"/>
      <c r="J1024" s="230"/>
      <c r="K1024" s="43"/>
      <c r="L1024" s="241"/>
      <c r="M1024" s="43" t="s">
        <v>270</v>
      </c>
      <c r="N1024" s="14">
        <v>250</v>
      </c>
      <c r="O1024" s="35">
        <v>19.087199899409001</v>
      </c>
      <c r="P1024" s="35"/>
      <c r="Q1024" s="35"/>
      <c r="R1024" s="146">
        <f t="shared" si="117"/>
        <v>19.087199899409001</v>
      </c>
      <c r="S1024" s="2">
        <f t="shared" si="114"/>
        <v>8.2987825649604344E-2</v>
      </c>
    </row>
    <row r="1025" spans="1:19" x14ac:dyDescent="0.25">
      <c r="A1025" s="231"/>
      <c r="B1025" s="230"/>
      <c r="C1025" s="230"/>
      <c r="D1025" s="230"/>
      <c r="E1025" s="230"/>
      <c r="F1025" s="223"/>
      <c r="G1025" s="224"/>
      <c r="H1025" s="221"/>
      <c r="I1025" s="222"/>
      <c r="J1025" s="231"/>
      <c r="K1025" s="43"/>
      <c r="L1025" s="242"/>
      <c r="M1025" s="43" t="s">
        <v>271</v>
      </c>
      <c r="N1025" s="14">
        <v>400</v>
      </c>
      <c r="O1025" s="35">
        <v>13.163586137523501</v>
      </c>
      <c r="P1025" s="35"/>
      <c r="Q1025" s="35"/>
      <c r="R1025" s="146">
        <f t="shared" si="117"/>
        <v>13.163586137523501</v>
      </c>
      <c r="S1025" s="2">
        <f t="shared" si="114"/>
        <v>3.5770614504139944E-2</v>
      </c>
    </row>
    <row r="1026" spans="1:19" x14ac:dyDescent="0.25">
      <c r="A1026" s="229">
        <v>48</v>
      </c>
      <c r="B1026" s="230"/>
      <c r="C1026" s="230"/>
      <c r="D1026" s="230"/>
      <c r="E1026" s="230"/>
      <c r="F1026" s="219" t="s">
        <v>1239</v>
      </c>
      <c r="G1026" s="220"/>
      <c r="H1026" s="221"/>
      <c r="I1026" s="222"/>
      <c r="J1026" s="229"/>
      <c r="K1026" s="43"/>
      <c r="L1026" s="240">
        <f>SUM(S1026:S1029)</f>
        <v>0.55158287565383668</v>
      </c>
      <c r="M1026" s="40" t="s">
        <v>1196</v>
      </c>
      <c r="N1026" s="1">
        <f>2*630</f>
        <v>1260</v>
      </c>
      <c r="O1026" s="35">
        <v>211.27555750725199</v>
      </c>
      <c r="P1026" s="35"/>
      <c r="Q1026" s="35"/>
      <c r="R1026" s="146">
        <f t="shared" si="117"/>
        <v>211.27555750725199</v>
      </c>
      <c r="S1026" s="2">
        <f t="shared" si="114"/>
        <v>0.18225979771157003</v>
      </c>
    </row>
    <row r="1027" spans="1:19" x14ac:dyDescent="0.25">
      <c r="A1027" s="230"/>
      <c r="B1027" s="230"/>
      <c r="C1027" s="230"/>
      <c r="D1027" s="230"/>
      <c r="E1027" s="230"/>
      <c r="F1027" s="221"/>
      <c r="G1027" s="222"/>
      <c r="H1027" s="221"/>
      <c r="I1027" s="222"/>
      <c r="J1027" s="230"/>
      <c r="K1027" s="43"/>
      <c r="L1027" s="241"/>
      <c r="M1027" s="40" t="s">
        <v>1240</v>
      </c>
      <c r="N1027" s="1">
        <f>2*1000</f>
        <v>2000</v>
      </c>
      <c r="O1027" s="35">
        <v>93.461461576416596</v>
      </c>
      <c r="P1027" s="35"/>
      <c r="Q1027" s="35"/>
      <c r="R1027" s="146">
        <f t="shared" si="117"/>
        <v>93.461461576416596</v>
      </c>
      <c r="S1027" s="2">
        <f t="shared" si="114"/>
        <v>5.0794272595878584E-2</v>
      </c>
    </row>
    <row r="1028" spans="1:19" x14ac:dyDescent="0.25">
      <c r="A1028" s="230"/>
      <c r="B1028" s="230"/>
      <c r="C1028" s="230"/>
      <c r="D1028" s="230"/>
      <c r="E1028" s="230"/>
      <c r="F1028" s="221"/>
      <c r="G1028" s="222"/>
      <c r="H1028" s="221"/>
      <c r="I1028" s="222"/>
      <c r="J1028" s="230"/>
      <c r="K1028" s="43"/>
      <c r="L1028" s="241"/>
      <c r="M1028" s="40" t="s">
        <v>1241</v>
      </c>
      <c r="N1028" s="1">
        <f t="shared" ref="N1028:N1032" si="119">2*630</f>
        <v>1260</v>
      </c>
      <c r="O1028" s="35">
        <v>254.71539176107899</v>
      </c>
      <c r="P1028" s="35"/>
      <c r="Q1028" s="35"/>
      <c r="R1028" s="146">
        <f t="shared" si="117"/>
        <v>254.71539176107899</v>
      </c>
      <c r="S1028" s="2">
        <f t="shared" si="114"/>
        <v>0.21973377481114473</v>
      </c>
    </row>
    <row r="1029" spans="1:19" x14ac:dyDescent="0.25">
      <c r="A1029" s="231"/>
      <c r="B1029" s="230"/>
      <c r="C1029" s="230"/>
      <c r="D1029" s="230"/>
      <c r="E1029" s="230"/>
      <c r="F1029" s="223"/>
      <c r="G1029" s="224"/>
      <c r="H1029" s="221"/>
      <c r="I1029" s="222"/>
      <c r="J1029" s="231"/>
      <c r="K1029" s="43"/>
      <c r="L1029" s="242"/>
      <c r="M1029" s="40" t="s">
        <v>1167</v>
      </c>
      <c r="N1029" s="1">
        <f t="shared" si="119"/>
        <v>1260</v>
      </c>
      <c r="O1029" s="35">
        <v>114.523199396454</v>
      </c>
      <c r="P1029" s="35"/>
      <c r="Q1029" s="35"/>
      <c r="R1029" s="146">
        <f t="shared" si="117"/>
        <v>114.523199396454</v>
      </c>
      <c r="S1029" s="2">
        <f t="shared" si="114"/>
        <v>9.8795030535243272E-2</v>
      </c>
    </row>
    <row r="1030" spans="1:19" ht="31.5" x14ac:dyDescent="0.25">
      <c r="A1030" s="229">
        <v>49</v>
      </c>
      <c r="B1030" s="230"/>
      <c r="C1030" s="230"/>
      <c r="D1030" s="230"/>
      <c r="E1030" s="230"/>
      <c r="F1030" s="219" t="s">
        <v>16</v>
      </c>
      <c r="G1030" s="220"/>
      <c r="H1030" s="221"/>
      <c r="I1030" s="222"/>
      <c r="J1030" s="229"/>
      <c r="K1030" s="43"/>
      <c r="L1030" s="240">
        <f>SUM(S1030:S1036)</f>
        <v>0.81134851039536804</v>
      </c>
      <c r="M1030" s="43" t="s">
        <v>493</v>
      </c>
      <c r="N1030" s="14">
        <f t="shared" si="119"/>
        <v>1260</v>
      </c>
      <c r="O1030" s="35">
        <v>138.217654443996</v>
      </c>
      <c r="P1030" s="35"/>
      <c r="Q1030" s="35"/>
      <c r="R1030" s="146">
        <f t="shared" si="117"/>
        <v>138.217654443996</v>
      </c>
      <c r="S1030" s="2">
        <f t="shared" si="114"/>
        <v>0.11923538168046584</v>
      </c>
    </row>
    <row r="1031" spans="1:19" ht="31.5" x14ac:dyDescent="0.25">
      <c r="A1031" s="230"/>
      <c r="B1031" s="230"/>
      <c r="C1031" s="230"/>
      <c r="D1031" s="230"/>
      <c r="E1031" s="230"/>
      <c r="F1031" s="221"/>
      <c r="G1031" s="222"/>
      <c r="H1031" s="221"/>
      <c r="I1031" s="222"/>
      <c r="J1031" s="230"/>
      <c r="K1031" s="43"/>
      <c r="L1031" s="241"/>
      <c r="M1031" s="43" t="s">
        <v>530</v>
      </c>
      <c r="N1031" s="14">
        <f t="shared" si="119"/>
        <v>1260</v>
      </c>
      <c r="O1031" s="35">
        <v>122.421351078968</v>
      </c>
      <c r="P1031" s="35"/>
      <c r="Q1031" s="35"/>
      <c r="R1031" s="146">
        <f t="shared" si="117"/>
        <v>122.421351078968</v>
      </c>
      <c r="S1031" s="2">
        <f t="shared" si="114"/>
        <v>0.10560848091698412</v>
      </c>
    </row>
    <row r="1032" spans="1:19" x14ac:dyDescent="0.25">
      <c r="A1032" s="230"/>
      <c r="B1032" s="230"/>
      <c r="C1032" s="230"/>
      <c r="D1032" s="230"/>
      <c r="E1032" s="230"/>
      <c r="F1032" s="221"/>
      <c r="G1032" s="222"/>
      <c r="H1032" s="221"/>
      <c r="I1032" s="222"/>
      <c r="J1032" s="230"/>
      <c r="K1032" s="43"/>
      <c r="L1032" s="241"/>
      <c r="M1032" s="43" t="s">
        <v>520</v>
      </c>
      <c r="N1032" s="14">
        <f t="shared" si="119"/>
        <v>1260</v>
      </c>
      <c r="O1032" s="35">
        <v>200.74468859723299</v>
      </c>
      <c r="P1032" s="35"/>
      <c r="Q1032" s="35"/>
      <c r="R1032" s="146">
        <f t="shared" si="117"/>
        <v>200.74468859723299</v>
      </c>
      <c r="S1032" s="2">
        <f t="shared" si="114"/>
        <v>0.17317519720258195</v>
      </c>
    </row>
    <row r="1033" spans="1:19" x14ac:dyDescent="0.25">
      <c r="A1033" s="230"/>
      <c r="B1033" s="230"/>
      <c r="C1033" s="230"/>
      <c r="D1033" s="230"/>
      <c r="E1033" s="230"/>
      <c r="F1033" s="221"/>
      <c r="G1033" s="222"/>
      <c r="H1033" s="221"/>
      <c r="I1033" s="222"/>
      <c r="J1033" s="230"/>
      <c r="K1033" s="43"/>
      <c r="L1033" s="241"/>
      <c r="M1033" s="43" t="s">
        <v>1198</v>
      </c>
      <c r="N1033" s="14">
        <f>2*250</f>
        <v>500</v>
      </c>
      <c r="O1033" s="35">
        <v>73.716082370131403</v>
      </c>
      <c r="P1033" s="35"/>
      <c r="Q1033" s="35"/>
      <c r="R1033" s="146">
        <f t="shared" si="117"/>
        <v>73.716082370131403</v>
      </c>
      <c r="S1033" s="2">
        <f t="shared" si="114"/>
        <v>0.16025235297854654</v>
      </c>
    </row>
    <row r="1034" spans="1:19" x14ac:dyDescent="0.25">
      <c r="A1034" s="230"/>
      <c r="B1034" s="230"/>
      <c r="C1034" s="230"/>
      <c r="D1034" s="230"/>
      <c r="E1034" s="230"/>
      <c r="F1034" s="221"/>
      <c r="G1034" s="222"/>
      <c r="H1034" s="221"/>
      <c r="I1034" s="222"/>
      <c r="J1034" s="230"/>
      <c r="K1034" s="43"/>
      <c r="L1034" s="241"/>
      <c r="M1034" s="43" t="s">
        <v>1242</v>
      </c>
      <c r="N1034" s="14">
        <v>400</v>
      </c>
      <c r="O1034" s="35">
        <v>19.7453792062852</v>
      </c>
      <c r="P1034" s="35"/>
      <c r="Q1034" s="35"/>
      <c r="R1034" s="146">
        <f t="shared" si="117"/>
        <v>19.7453792062852</v>
      </c>
      <c r="S1034" s="2">
        <f t="shared" si="114"/>
        <v>5.3655921756209785E-2</v>
      </c>
    </row>
    <row r="1035" spans="1:19" x14ac:dyDescent="0.25">
      <c r="A1035" s="230"/>
      <c r="B1035" s="230"/>
      <c r="C1035" s="230"/>
      <c r="D1035" s="230"/>
      <c r="E1035" s="230"/>
      <c r="F1035" s="221"/>
      <c r="G1035" s="222"/>
      <c r="H1035" s="221"/>
      <c r="I1035" s="222"/>
      <c r="J1035" s="230"/>
      <c r="K1035" s="43"/>
      <c r="L1035" s="241"/>
      <c r="M1035" s="43" t="s">
        <v>1210</v>
      </c>
      <c r="N1035" s="14">
        <f>2*160</f>
        <v>320</v>
      </c>
      <c r="O1035" s="35">
        <v>54.628882470722402</v>
      </c>
      <c r="P1035" s="35"/>
      <c r="Q1035" s="35"/>
      <c r="R1035" s="146">
        <f t="shared" si="117"/>
        <v>54.628882470722402</v>
      </c>
      <c r="S1035" s="2">
        <f t="shared" si="114"/>
        <v>0.18556006274022552</v>
      </c>
    </row>
    <row r="1036" spans="1:19" ht="31.5" x14ac:dyDescent="0.25">
      <c r="A1036" s="231"/>
      <c r="B1036" s="231"/>
      <c r="C1036" s="231"/>
      <c r="D1036" s="231"/>
      <c r="E1036" s="231"/>
      <c r="F1036" s="223"/>
      <c r="G1036" s="224"/>
      <c r="H1036" s="223"/>
      <c r="I1036" s="224"/>
      <c r="J1036" s="231"/>
      <c r="K1036" s="43"/>
      <c r="L1036" s="242"/>
      <c r="M1036" s="43" t="s">
        <v>485</v>
      </c>
      <c r="N1036" s="14">
        <f>2*1600</f>
        <v>3200</v>
      </c>
      <c r="O1036" s="35">
        <v>40.8071170263228</v>
      </c>
      <c r="P1036" s="35"/>
      <c r="Q1036" s="35"/>
      <c r="R1036" s="146">
        <f t="shared" si="117"/>
        <v>40.8071170263228</v>
      </c>
      <c r="S1036" s="2">
        <f t="shared" si="114"/>
        <v>1.3861113120354212E-2</v>
      </c>
    </row>
    <row r="1037" spans="1:19" ht="15.75" customHeight="1" x14ac:dyDescent="0.25">
      <c r="A1037" s="42"/>
      <c r="B1037" s="225" t="s">
        <v>103</v>
      </c>
      <c r="C1037" s="226"/>
      <c r="D1037" s="226"/>
      <c r="E1037" s="226"/>
      <c r="F1037" s="226"/>
      <c r="G1037" s="226"/>
      <c r="H1037" s="226"/>
      <c r="I1037" s="227"/>
      <c r="J1037" s="153"/>
      <c r="K1037" s="153"/>
      <c r="L1037" s="153">
        <f>SUM(L910:L1030)</f>
        <v>25.852207822360121</v>
      </c>
      <c r="M1037" s="153"/>
      <c r="N1037" s="154"/>
      <c r="O1037" s="155">
        <v>0.65817930687617299</v>
      </c>
      <c r="P1037" s="155"/>
      <c r="Q1037" s="155"/>
      <c r="R1037" s="156">
        <f t="shared" si="117"/>
        <v>0.65817930687617299</v>
      </c>
      <c r="S1037" s="2" t="e">
        <f t="shared" si="114"/>
        <v>#DIV/0!</v>
      </c>
    </row>
    <row r="1038" spans="1:19" ht="15.75" customHeight="1" x14ac:dyDescent="0.25">
      <c r="A1038" s="228">
        <v>50</v>
      </c>
      <c r="B1038" s="229" t="s">
        <v>60</v>
      </c>
      <c r="C1038" s="229" t="s">
        <v>17</v>
      </c>
      <c r="D1038" s="229" t="s">
        <v>101</v>
      </c>
      <c r="E1038" s="229"/>
      <c r="F1038" s="219" t="s">
        <v>18</v>
      </c>
      <c r="G1038" s="220"/>
      <c r="H1038" s="219" t="s">
        <v>709</v>
      </c>
      <c r="I1038" s="220"/>
      <c r="J1038" s="229"/>
      <c r="K1038" s="43"/>
      <c r="L1038" s="240">
        <f>SUM(S1038:S1041)</f>
        <v>0.27119803669456122</v>
      </c>
      <c r="M1038" s="43" t="s">
        <v>1243</v>
      </c>
      <c r="N1038" s="1">
        <f>2*630</f>
        <v>1260</v>
      </c>
      <c r="O1038" s="35">
        <v>95.435999497045103</v>
      </c>
      <c r="P1038" s="35"/>
      <c r="Q1038" s="35"/>
      <c r="R1038" s="146">
        <f t="shared" si="117"/>
        <v>95.435999497045103</v>
      </c>
      <c r="S1038" s="2">
        <f t="shared" ref="S1038:S1057" si="120">R1038/(N1038*0.92)</f>
        <v>8.2329192112702815E-2</v>
      </c>
    </row>
    <row r="1039" spans="1:19" x14ac:dyDescent="0.25">
      <c r="A1039" s="228"/>
      <c r="B1039" s="230"/>
      <c r="C1039" s="230"/>
      <c r="D1039" s="230"/>
      <c r="E1039" s="230"/>
      <c r="F1039" s="221"/>
      <c r="G1039" s="222"/>
      <c r="H1039" s="221"/>
      <c r="I1039" s="222"/>
      <c r="J1039" s="230"/>
      <c r="K1039" s="43"/>
      <c r="L1039" s="241"/>
      <c r="M1039" s="43" t="s">
        <v>1244</v>
      </c>
      <c r="N1039" s="14">
        <f t="shared" ref="N1039:N1041" si="121">2*250</f>
        <v>500</v>
      </c>
      <c r="O1039" s="35">
        <v>70.425185835750497</v>
      </c>
      <c r="P1039" s="35"/>
      <c r="Q1039" s="35"/>
      <c r="R1039" s="146">
        <f t="shared" si="117"/>
        <v>70.425185835750497</v>
      </c>
      <c r="S1039" s="2">
        <f t="shared" si="120"/>
        <v>0.15309823007771847</v>
      </c>
    </row>
    <row r="1040" spans="1:19" x14ac:dyDescent="0.25">
      <c r="A1040" s="228"/>
      <c r="B1040" s="230"/>
      <c r="C1040" s="230"/>
      <c r="D1040" s="230"/>
      <c r="E1040" s="230"/>
      <c r="F1040" s="221"/>
      <c r="G1040" s="222"/>
      <c r="H1040" s="221"/>
      <c r="I1040" s="222"/>
      <c r="J1040" s="230"/>
      <c r="K1040" s="43"/>
      <c r="L1040" s="241"/>
      <c r="M1040" s="43" t="s">
        <v>1245</v>
      </c>
      <c r="N1040" s="14">
        <f t="shared" si="121"/>
        <v>500</v>
      </c>
      <c r="O1040" s="35">
        <v>15.138124058152</v>
      </c>
      <c r="P1040" s="35"/>
      <c r="Q1040" s="35"/>
      <c r="R1040" s="146">
        <f t="shared" si="117"/>
        <v>15.138124058152</v>
      </c>
      <c r="S1040" s="2">
        <f t="shared" si="120"/>
        <v>3.2908965343808695E-2</v>
      </c>
    </row>
    <row r="1041" spans="1:19" x14ac:dyDescent="0.25">
      <c r="A1041" s="228"/>
      <c r="B1041" s="230"/>
      <c r="C1041" s="230"/>
      <c r="D1041" s="230"/>
      <c r="E1041" s="230"/>
      <c r="F1041" s="223"/>
      <c r="G1041" s="224"/>
      <c r="H1041" s="221"/>
      <c r="I1041" s="222"/>
      <c r="J1041" s="231"/>
      <c r="K1041" s="43"/>
      <c r="L1041" s="242"/>
      <c r="M1041" s="43" t="s">
        <v>1246</v>
      </c>
      <c r="N1041" s="14">
        <f t="shared" si="121"/>
        <v>500</v>
      </c>
      <c r="O1041" s="35">
        <v>1.31635861375235</v>
      </c>
      <c r="P1041" s="35"/>
      <c r="Q1041" s="35"/>
      <c r="R1041" s="146">
        <f t="shared" si="117"/>
        <v>1.31635861375235</v>
      </c>
      <c r="S1041" s="2">
        <f t="shared" si="120"/>
        <v>2.8616491603311958E-3</v>
      </c>
    </row>
    <row r="1042" spans="1:19" x14ac:dyDescent="0.25">
      <c r="A1042" s="272">
        <v>51</v>
      </c>
      <c r="B1042" s="230"/>
      <c r="C1042" s="230"/>
      <c r="D1042" s="230"/>
      <c r="E1042" s="230"/>
      <c r="F1042" s="219" t="s">
        <v>19</v>
      </c>
      <c r="G1042" s="220"/>
      <c r="H1042" s="221"/>
      <c r="I1042" s="222"/>
      <c r="J1042" s="229"/>
      <c r="K1042" s="43"/>
      <c r="L1042" s="240">
        <f>SUM(S1042:S1049)</f>
        <v>1.8759927166072718</v>
      </c>
      <c r="M1042" s="43" t="s">
        <v>451</v>
      </c>
      <c r="N1042" s="14">
        <f>2*630</f>
        <v>1260</v>
      </c>
      <c r="O1042" s="35">
        <v>96.752358110797502</v>
      </c>
      <c r="P1042" s="35"/>
      <c r="Q1042" s="35"/>
      <c r="R1042" s="146">
        <f t="shared" si="117"/>
        <v>96.752358110797502</v>
      </c>
      <c r="S1042" s="2">
        <f t="shared" si="120"/>
        <v>8.3464767176326338E-2</v>
      </c>
    </row>
    <row r="1043" spans="1:19" x14ac:dyDescent="0.25">
      <c r="A1043" s="273"/>
      <c r="B1043" s="230"/>
      <c r="C1043" s="230"/>
      <c r="D1043" s="230"/>
      <c r="E1043" s="230"/>
      <c r="F1043" s="221"/>
      <c r="G1043" s="222"/>
      <c r="H1043" s="221"/>
      <c r="I1043" s="222"/>
      <c r="J1043" s="230"/>
      <c r="K1043" s="43"/>
      <c r="L1043" s="241"/>
      <c r="M1043" s="43" t="s">
        <v>537</v>
      </c>
      <c r="N1043" s="3">
        <f t="shared" ref="N1043:N1044" si="122">2*250</f>
        <v>500</v>
      </c>
      <c r="O1043" s="35">
        <v>1.31635861375235</v>
      </c>
      <c r="P1043" s="35"/>
      <c r="Q1043" s="35"/>
      <c r="R1043" s="146">
        <f t="shared" si="117"/>
        <v>1.31635861375235</v>
      </c>
      <c r="S1043" s="2">
        <f t="shared" si="120"/>
        <v>2.8616491603311958E-3</v>
      </c>
    </row>
    <row r="1044" spans="1:19" x14ac:dyDescent="0.25">
      <c r="A1044" s="273"/>
      <c r="B1044" s="230"/>
      <c r="C1044" s="230"/>
      <c r="D1044" s="230"/>
      <c r="E1044" s="230"/>
      <c r="F1044" s="221"/>
      <c r="G1044" s="222"/>
      <c r="H1044" s="221"/>
      <c r="I1044" s="222"/>
      <c r="J1044" s="230"/>
      <c r="K1044" s="43"/>
      <c r="L1044" s="241"/>
      <c r="M1044" s="43" t="s">
        <v>481</v>
      </c>
      <c r="N1044" s="3">
        <f t="shared" si="122"/>
        <v>500</v>
      </c>
      <c r="O1044" s="35">
        <v>70.425185835750497</v>
      </c>
      <c r="P1044" s="35"/>
      <c r="Q1044" s="35"/>
      <c r="R1044" s="146">
        <f t="shared" si="117"/>
        <v>70.425185835750497</v>
      </c>
      <c r="S1044" s="2">
        <f t="shared" si="120"/>
        <v>0.15309823007771847</v>
      </c>
    </row>
    <row r="1045" spans="1:19" x14ac:dyDescent="0.25">
      <c r="A1045" s="273"/>
      <c r="B1045" s="230"/>
      <c r="C1045" s="230"/>
      <c r="D1045" s="230"/>
      <c r="E1045" s="230"/>
      <c r="F1045" s="221"/>
      <c r="G1045" s="222"/>
      <c r="H1045" s="221"/>
      <c r="I1045" s="222"/>
      <c r="J1045" s="230"/>
      <c r="K1045" s="43"/>
      <c r="L1045" s="241"/>
      <c r="M1045" s="43" t="s">
        <v>1247</v>
      </c>
      <c r="N1045" s="14">
        <v>100</v>
      </c>
      <c r="O1045" s="35">
        <v>17.112661978780501</v>
      </c>
      <c r="P1045" s="35"/>
      <c r="Q1045" s="35"/>
      <c r="R1045" s="146">
        <f t="shared" si="117"/>
        <v>17.112661978780501</v>
      </c>
      <c r="S1045" s="2">
        <f t="shared" si="120"/>
        <v>0.18600719542152719</v>
      </c>
    </row>
    <row r="1046" spans="1:19" x14ac:dyDescent="0.25">
      <c r="A1046" s="273"/>
      <c r="B1046" s="230"/>
      <c r="C1046" s="230"/>
      <c r="D1046" s="230"/>
      <c r="E1046" s="230"/>
      <c r="F1046" s="221"/>
      <c r="G1046" s="222"/>
      <c r="H1046" s="221"/>
      <c r="I1046" s="222"/>
      <c r="J1046" s="230"/>
      <c r="K1046" s="43"/>
      <c r="L1046" s="241"/>
      <c r="M1046" s="43" t="s">
        <v>1248</v>
      </c>
      <c r="N1046" s="14">
        <v>630</v>
      </c>
      <c r="O1046" s="35">
        <v>40.8071170263228</v>
      </c>
      <c r="P1046" s="35"/>
      <c r="Q1046" s="35"/>
      <c r="R1046" s="146">
        <f t="shared" si="117"/>
        <v>40.8071170263228</v>
      </c>
      <c r="S1046" s="2">
        <f t="shared" si="120"/>
        <v>7.040565394465631E-2</v>
      </c>
    </row>
    <row r="1047" spans="1:19" x14ac:dyDescent="0.25">
      <c r="A1047" s="273"/>
      <c r="B1047" s="230"/>
      <c r="C1047" s="230"/>
      <c r="D1047" s="230"/>
      <c r="E1047" s="230"/>
      <c r="F1047" s="221"/>
      <c r="G1047" s="222"/>
      <c r="H1047" s="221"/>
      <c r="I1047" s="222"/>
      <c r="J1047" s="230"/>
      <c r="K1047" s="43"/>
      <c r="L1047" s="241"/>
      <c r="M1047" s="43" t="s">
        <v>1249</v>
      </c>
      <c r="N1047" s="14">
        <v>63</v>
      </c>
      <c r="O1047" s="35">
        <v>25.010813661294598</v>
      </c>
      <c r="P1047" s="35"/>
      <c r="Q1047" s="35"/>
      <c r="R1047" s="146">
        <f t="shared" si="117"/>
        <v>25.010813661294598</v>
      </c>
      <c r="S1047" s="2">
        <f t="shared" si="120"/>
        <v>0.43151852417692543</v>
      </c>
    </row>
    <row r="1048" spans="1:19" x14ac:dyDescent="0.25">
      <c r="A1048" s="273"/>
      <c r="B1048" s="230"/>
      <c r="C1048" s="230"/>
      <c r="D1048" s="230"/>
      <c r="E1048" s="230"/>
      <c r="F1048" s="221"/>
      <c r="G1048" s="222"/>
      <c r="H1048" s="221"/>
      <c r="I1048" s="222"/>
      <c r="J1048" s="230"/>
      <c r="K1048" s="43"/>
      <c r="L1048" s="241"/>
      <c r="M1048" s="43" t="s">
        <v>1250</v>
      </c>
      <c r="N1048" s="14">
        <v>25</v>
      </c>
      <c r="O1048" s="35">
        <v>21.0617378200375</v>
      </c>
      <c r="P1048" s="35"/>
      <c r="Q1048" s="35"/>
      <c r="R1048" s="146">
        <f t="shared" si="117"/>
        <v>21.0617378200375</v>
      </c>
      <c r="S1048" s="2">
        <f t="shared" si="120"/>
        <v>0.91572773130597829</v>
      </c>
    </row>
    <row r="1049" spans="1:19" x14ac:dyDescent="0.25">
      <c r="A1049" s="273"/>
      <c r="B1049" s="230"/>
      <c r="C1049" s="230"/>
      <c r="D1049" s="230"/>
      <c r="E1049" s="230"/>
      <c r="F1049" s="223"/>
      <c r="G1049" s="224"/>
      <c r="H1049" s="221"/>
      <c r="I1049" s="222"/>
      <c r="J1049" s="231"/>
      <c r="K1049" s="43"/>
      <c r="L1049" s="242"/>
      <c r="M1049" s="43" t="s">
        <v>433</v>
      </c>
      <c r="N1049" s="3">
        <f t="shared" ref="N1049:N1051" si="123">2*250</f>
        <v>500</v>
      </c>
      <c r="O1049" s="35">
        <v>15.138124058152</v>
      </c>
      <c r="P1049" s="35"/>
      <c r="Q1049" s="35"/>
      <c r="R1049" s="146">
        <f t="shared" si="117"/>
        <v>15.138124058152</v>
      </c>
      <c r="S1049" s="2">
        <f t="shared" si="120"/>
        <v>3.2908965343808695E-2</v>
      </c>
    </row>
    <row r="1050" spans="1:19" x14ac:dyDescent="0.25">
      <c r="A1050" s="272">
        <v>52</v>
      </c>
      <c r="B1050" s="230"/>
      <c r="C1050" s="230"/>
      <c r="D1050" s="230"/>
      <c r="E1050" s="230"/>
      <c r="F1050" s="219" t="s">
        <v>20</v>
      </c>
      <c r="G1050" s="220"/>
      <c r="H1050" s="221"/>
      <c r="I1050" s="222"/>
      <c r="J1050" s="229"/>
      <c r="K1050" s="43"/>
      <c r="L1050" s="240">
        <f>SUM(S1050:S1057)</f>
        <v>1.8759927166072716</v>
      </c>
      <c r="M1050" s="43" t="s">
        <v>482</v>
      </c>
      <c r="N1050" s="3">
        <f t="shared" si="123"/>
        <v>500</v>
      </c>
      <c r="O1050" s="35">
        <v>70.425185835750497</v>
      </c>
      <c r="P1050" s="35"/>
      <c r="Q1050" s="35"/>
      <c r="R1050" s="146">
        <f t="shared" si="117"/>
        <v>70.425185835750497</v>
      </c>
      <c r="S1050" s="2">
        <f t="shared" si="120"/>
        <v>0.15309823007771847</v>
      </c>
    </row>
    <row r="1051" spans="1:19" x14ac:dyDescent="0.25">
      <c r="A1051" s="273"/>
      <c r="B1051" s="230"/>
      <c r="C1051" s="230"/>
      <c r="D1051" s="230"/>
      <c r="E1051" s="230"/>
      <c r="F1051" s="221"/>
      <c r="G1051" s="222"/>
      <c r="H1051" s="221"/>
      <c r="I1051" s="222"/>
      <c r="J1051" s="230"/>
      <c r="K1051" s="43"/>
      <c r="L1051" s="241"/>
      <c r="M1051" s="43" t="s">
        <v>538</v>
      </c>
      <c r="N1051" s="3">
        <f t="shared" si="123"/>
        <v>500</v>
      </c>
      <c r="O1051" s="35">
        <v>1.31635861375235</v>
      </c>
      <c r="P1051" s="35"/>
      <c r="Q1051" s="35"/>
      <c r="R1051" s="146">
        <f t="shared" si="117"/>
        <v>1.31635861375235</v>
      </c>
      <c r="S1051" s="2">
        <f t="shared" si="120"/>
        <v>2.8616491603311958E-3</v>
      </c>
    </row>
    <row r="1052" spans="1:19" x14ac:dyDescent="0.25">
      <c r="A1052" s="273"/>
      <c r="B1052" s="230"/>
      <c r="C1052" s="230"/>
      <c r="D1052" s="230"/>
      <c r="E1052" s="230"/>
      <c r="F1052" s="221"/>
      <c r="G1052" s="222"/>
      <c r="H1052" s="221"/>
      <c r="I1052" s="222"/>
      <c r="J1052" s="230"/>
      <c r="K1052" s="43"/>
      <c r="L1052" s="241"/>
      <c r="M1052" s="43" t="s">
        <v>1247</v>
      </c>
      <c r="N1052" s="14">
        <v>100</v>
      </c>
      <c r="O1052" s="35">
        <v>17.112661978780501</v>
      </c>
      <c r="P1052" s="35"/>
      <c r="Q1052" s="35"/>
      <c r="R1052" s="146">
        <f t="shared" si="117"/>
        <v>17.112661978780501</v>
      </c>
      <c r="S1052" s="2">
        <f t="shared" si="120"/>
        <v>0.18600719542152719</v>
      </c>
    </row>
    <row r="1053" spans="1:19" x14ac:dyDescent="0.25">
      <c r="A1053" s="273"/>
      <c r="B1053" s="230"/>
      <c r="C1053" s="230"/>
      <c r="D1053" s="230"/>
      <c r="E1053" s="230"/>
      <c r="F1053" s="221"/>
      <c r="G1053" s="222"/>
      <c r="H1053" s="221"/>
      <c r="I1053" s="222"/>
      <c r="J1053" s="230"/>
      <c r="K1053" s="43"/>
      <c r="L1053" s="241"/>
      <c r="M1053" s="43" t="s">
        <v>1248</v>
      </c>
      <c r="N1053" s="14">
        <v>630</v>
      </c>
      <c r="O1053" s="35">
        <v>40.8071170263228</v>
      </c>
      <c r="P1053" s="35"/>
      <c r="Q1053" s="35"/>
      <c r="R1053" s="146">
        <f t="shared" si="117"/>
        <v>40.8071170263228</v>
      </c>
      <c r="S1053" s="2">
        <f t="shared" si="120"/>
        <v>7.040565394465631E-2</v>
      </c>
    </row>
    <row r="1054" spans="1:19" x14ac:dyDescent="0.25">
      <c r="A1054" s="273"/>
      <c r="B1054" s="230"/>
      <c r="C1054" s="230"/>
      <c r="D1054" s="230"/>
      <c r="E1054" s="230"/>
      <c r="F1054" s="221"/>
      <c r="G1054" s="222"/>
      <c r="H1054" s="221"/>
      <c r="I1054" s="222"/>
      <c r="J1054" s="230"/>
      <c r="K1054" s="43"/>
      <c r="L1054" s="241"/>
      <c r="M1054" s="43" t="s">
        <v>1249</v>
      </c>
      <c r="N1054" s="14">
        <v>63</v>
      </c>
      <c r="O1054" s="35">
        <v>25.010813661294598</v>
      </c>
      <c r="P1054" s="35"/>
      <c r="Q1054" s="35"/>
      <c r="R1054" s="146">
        <f t="shared" si="117"/>
        <v>25.010813661294598</v>
      </c>
      <c r="S1054" s="2">
        <f t="shared" si="120"/>
        <v>0.43151852417692543</v>
      </c>
    </row>
    <row r="1055" spans="1:19" x14ac:dyDescent="0.25">
      <c r="A1055" s="273"/>
      <c r="B1055" s="230"/>
      <c r="C1055" s="230"/>
      <c r="D1055" s="230"/>
      <c r="E1055" s="230"/>
      <c r="F1055" s="221"/>
      <c r="G1055" s="222"/>
      <c r="H1055" s="221"/>
      <c r="I1055" s="222"/>
      <c r="J1055" s="230"/>
      <c r="K1055" s="43"/>
      <c r="L1055" s="241"/>
      <c r="M1055" s="43" t="s">
        <v>1250</v>
      </c>
      <c r="N1055" s="14">
        <v>25</v>
      </c>
      <c r="O1055" s="35">
        <v>21.0617378200375</v>
      </c>
      <c r="P1055" s="35"/>
      <c r="Q1055" s="35"/>
      <c r="R1055" s="146">
        <f t="shared" si="117"/>
        <v>21.0617378200375</v>
      </c>
      <c r="S1055" s="2">
        <f t="shared" si="120"/>
        <v>0.91572773130597829</v>
      </c>
    </row>
    <row r="1056" spans="1:19" x14ac:dyDescent="0.25">
      <c r="A1056" s="273"/>
      <c r="B1056" s="230"/>
      <c r="C1056" s="230"/>
      <c r="D1056" s="230"/>
      <c r="E1056" s="230"/>
      <c r="F1056" s="221"/>
      <c r="G1056" s="222"/>
      <c r="H1056" s="221"/>
      <c r="I1056" s="222"/>
      <c r="J1056" s="230"/>
      <c r="K1056" s="43"/>
      <c r="L1056" s="241"/>
      <c r="M1056" s="43" t="s">
        <v>452</v>
      </c>
      <c r="N1056" s="14">
        <f>2*630</f>
        <v>1260</v>
      </c>
      <c r="O1056" s="35">
        <v>96.752358110797502</v>
      </c>
      <c r="P1056" s="35"/>
      <c r="Q1056" s="35"/>
      <c r="R1056" s="146">
        <f t="shared" ref="R1056:R1119" si="124">O1056+P1056+Q1056</f>
        <v>96.752358110797502</v>
      </c>
      <c r="S1056" s="2">
        <f t="shared" si="120"/>
        <v>8.3464767176326338E-2</v>
      </c>
    </row>
    <row r="1057" spans="1:19" x14ac:dyDescent="0.25">
      <c r="A1057" s="273"/>
      <c r="B1057" s="231"/>
      <c r="C1057" s="231"/>
      <c r="D1057" s="231"/>
      <c r="E1057" s="231"/>
      <c r="F1057" s="223"/>
      <c r="G1057" s="224"/>
      <c r="H1057" s="223"/>
      <c r="I1057" s="224"/>
      <c r="J1057" s="231"/>
      <c r="K1057" s="43"/>
      <c r="L1057" s="242"/>
      <c r="M1057" s="43" t="s">
        <v>434</v>
      </c>
      <c r="N1057" s="3">
        <f>2*250</f>
        <v>500</v>
      </c>
      <c r="O1057" s="35">
        <v>15.138124058152</v>
      </c>
      <c r="P1057" s="35"/>
      <c r="Q1057" s="35"/>
      <c r="R1057" s="146">
        <f t="shared" si="124"/>
        <v>15.138124058152</v>
      </c>
      <c r="S1057" s="2">
        <f t="shared" si="120"/>
        <v>3.2908965343808695E-2</v>
      </c>
    </row>
    <row r="1058" spans="1:19" ht="15.75" hidden="1" customHeight="1" x14ac:dyDescent="0.25">
      <c r="A1058" s="42"/>
      <c r="B1058" s="225" t="s">
        <v>104</v>
      </c>
      <c r="C1058" s="226"/>
      <c r="D1058" s="226"/>
      <c r="E1058" s="226"/>
      <c r="F1058" s="226"/>
      <c r="G1058" s="226"/>
      <c r="H1058" s="226"/>
      <c r="I1058" s="227"/>
      <c r="J1058" s="153"/>
      <c r="K1058" s="153"/>
      <c r="L1058" s="153">
        <f>L1038+L1042+L1050</f>
        <v>4.0231834699091049</v>
      </c>
      <c r="M1058" s="153"/>
      <c r="N1058" s="154"/>
      <c r="O1058" s="155"/>
      <c r="P1058" s="155"/>
      <c r="Q1058" s="155"/>
      <c r="R1058" s="156">
        <f t="shared" si="124"/>
        <v>0</v>
      </c>
      <c r="S1058" s="155"/>
    </row>
    <row r="1059" spans="1:19" ht="15.75" customHeight="1" x14ac:dyDescent="0.25">
      <c r="A1059" s="229">
        <v>53</v>
      </c>
      <c r="B1059" s="229" t="s">
        <v>60</v>
      </c>
      <c r="C1059" s="229" t="s">
        <v>21</v>
      </c>
      <c r="D1059" s="229" t="s">
        <v>101</v>
      </c>
      <c r="E1059" s="229"/>
      <c r="F1059" s="219" t="s">
        <v>22</v>
      </c>
      <c r="G1059" s="220"/>
      <c r="H1059" s="219" t="s">
        <v>709</v>
      </c>
      <c r="I1059" s="220"/>
      <c r="J1059" s="229"/>
      <c r="K1059" s="43"/>
      <c r="L1059" s="240">
        <f>SUM(S1059:S1062)</f>
        <v>0.3993278100608571</v>
      </c>
      <c r="M1059" s="43" t="s">
        <v>489</v>
      </c>
      <c r="N1059" s="3">
        <f>2*400</f>
        <v>800</v>
      </c>
      <c r="O1059" s="35">
        <v>63.1852134601126</v>
      </c>
      <c r="P1059" s="35"/>
      <c r="Q1059" s="35"/>
      <c r="R1059" s="146">
        <f t="shared" si="124"/>
        <v>63.1852134601126</v>
      </c>
      <c r="S1059" s="2">
        <f t="shared" ref="S1059:S1122" si="125">R1059/(N1059*0.92)</f>
        <v>8.58494748099356E-2</v>
      </c>
    </row>
    <row r="1060" spans="1:19" x14ac:dyDescent="0.25">
      <c r="A1060" s="230"/>
      <c r="B1060" s="230"/>
      <c r="C1060" s="230"/>
      <c r="D1060" s="230"/>
      <c r="E1060" s="230"/>
      <c r="F1060" s="221"/>
      <c r="G1060" s="222"/>
      <c r="H1060" s="221"/>
      <c r="I1060" s="222"/>
      <c r="J1060" s="230"/>
      <c r="K1060" s="43"/>
      <c r="L1060" s="241"/>
      <c r="M1060" s="39" t="s">
        <v>1251</v>
      </c>
      <c r="N1060" s="1">
        <f>2*630</f>
        <v>1260</v>
      </c>
      <c r="O1060" s="35">
        <v>17.770841285656701</v>
      </c>
      <c r="P1060" s="35"/>
      <c r="Q1060" s="35"/>
      <c r="R1060" s="146">
        <f t="shared" si="124"/>
        <v>17.770841285656701</v>
      </c>
      <c r="S1060" s="2">
        <f t="shared" si="125"/>
        <v>1.5330263358917098E-2</v>
      </c>
    </row>
    <row r="1061" spans="1:19" x14ac:dyDescent="0.25">
      <c r="A1061" s="230"/>
      <c r="B1061" s="230"/>
      <c r="C1061" s="230"/>
      <c r="D1061" s="230"/>
      <c r="E1061" s="230"/>
      <c r="F1061" s="221"/>
      <c r="G1061" s="222"/>
      <c r="H1061" s="221"/>
      <c r="I1061" s="222"/>
      <c r="J1061" s="230"/>
      <c r="K1061" s="43"/>
      <c r="L1061" s="241"/>
      <c r="M1061" s="39" t="s">
        <v>1252</v>
      </c>
      <c r="N1061" s="14">
        <f>2*800</f>
        <v>1600</v>
      </c>
      <c r="O1061" s="35">
        <v>9.2145102962664307</v>
      </c>
      <c r="P1061" s="35"/>
      <c r="Q1061" s="35"/>
      <c r="R1061" s="146">
        <f t="shared" si="124"/>
        <v>9.2145102962664307</v>
      </c>
      <c r="S1061" s="2">
        <f t="shared" si="125"/>
        <v>6.2598575382244778E-3</v>
      </c>
    </row>
    <row r="1062" spans="1:19" x14ac:dyDescent="0.25">
      <c r="A1062" s="231"/>
      <c r="B1062" s="230"/>
      <c r="C1062" s="230"/>
      <c r="D1062" s="230"/>
      <c r="E1062" s="230"/>
      <c r="F1062" s="223"/>
      <c r="G1062" s="224"/>
      <c r="H1062" s="221"/>
      <c r="I1062" s="222"/>
      <c r="J1062" s="231"/>
      <c r="K1062" s="43"/>
      <c r="L1062" s="242"/>
      <c r="M1062" s="43" t="s">
        <v>523</v>
      </c>
      <c r="N1062" s="14">
        <f>4*1000</f>
        <v>4000</v>
      </c>
      <c r="O1062" s="35">
        <v>1074.1486288219101</v>
      </c>
      <c r="P1062" s="35"/>
      <c r="Q1062" s="35"/>
      <c r="R1062" s="146">
        <f t="shared" si="124"/>
        <v>1074.1486288219101</v>
      </c>
      <c r="S1062" s="2">
        <f t="shared" si="125"/>
        <v>0.29188821435377993</v>
      </c>
    </row>
    <row r="1063" spans="1:19" x14ac:dyDescent="0.25">
      <c r="A1063" s="272">
        <v>54</v>
      </c>
      <c r="B1063" s="230"/>
      <c r="C1063" s="230"/>
      <c r="D1063" s="230"/>
      <c r="E1063" s="230"/>
      <c r="F1063" s="219" t="s">
        <v>23</v>
      </c>
      <c r="G1063" s="220"/>
      <c r="H1063" s="221"/>
      <c r="I1063" s="222"/>
      <c r="J1063" s="229"/>
      <c r="K1063" s="43"/>
      <c r="L1063" s="240">
        <f>SUM(S1063:S1067)</f>
        <v>0.88595779292767496</v>
      </c>
      <c r="M1063" s="43" t="s">
        <v>504</v>
      </c>
      <c r="N1063" s="14">
        <f>2*630</f>
        <v>1260</v>
      </c>
      <c r="O1063" s="35">
        <v>140.85037167150099</v>
      </c>
      <c r="P1063" s="35"/>
      <c r="Q1063" s="35"/>
      <c r="R1063" s="146">
        <f t="shared" si="124"/>
        <v>140.85037167150099</v>
      </c>
      <c r="S1063" s="2">
        <f t="shared" si="125"/>
        <v>0.12150653180771306</v>
      </c>
    </row>
    <row r="1064" spans="1:19" x14ac:dyDescent="0.25">
      <c r="A1064" s="273"/>
      <c r="B1064" s="230"/>
      <c r="C1064" s="230"/>
      <c r="D1064" s="230"/>
      <c r="E1064" s="230"/>
      <c r="F1064" s="221"/>
      <c r="G1064" s="222"/>
      <c r="H1064" s="221"/>
      <c r="I1064" s="222"/>
      <c r="J1064" s="230"/>
      <c r="K1064" s="43"/>
      <c r="L1064" s="241"/>
      <c r="M1064" s="43" t="s">
        <v>503</v>
      </c>
      <c r="N1064" s="3">
        <f>2*400</f>
        <v>800</v>
      </c>
      <c r="O1064" s="35">
        <v>167.83572325342399</v>
      </c>
      <c r="P1064" s="35"/>
      <c r="Q1064" s="35"/>
      <c r="R1064" s="146">
        <f t="shared" si="124"/>
        <v>167.83572325342399</v>
      </c>
      <c r="S1064" s="2">
        <f t="shared" si="125"/>
        <v>0.22803766746389129</v>
      </c>
    </row>
    <row r="1065" spans="1:19" x14ac:dyDescent="0.25">
      <c r="A1065" s="273"/>
      <c r="B1065" s="230"/>
      <c r="C1065" s="230"/>
      <c r="D1065" s="230"/>
      <c r="E1065" s="230"/>
      <c r="F1065" s="221"/>
      <c r="G1065" s="222"/>
      <c r="H1065" s="221"/>
      <c r="I1065" s="222"/>
      <c r="J1065" s="230"/>
      <c r="K1065" s="43"/>
      <c r="L1065" s="241"/>
      <c r="M1065" s="39" t="s">
        <v>1254</v>
      </c>
      <c r="N1065" s="14">
        <f>2*250</f>
        <v>500</v>
      </c>
      <c r="O1065" s="35">
        <v>88.854206428283405</v>
      </c>
      <c r="P1065" s="35"/>
      <c r="Q1065" s="35">
        <f>7+15+15</f>
        <v>37</v>
      </c>
      <c r="R1065" s="146">
        <f t="shared" si="124"/>
        <v>125.8542064282834</v>
      </c>
      <c r="S1065" s="2">
        <f t="shared" si="125"/>
        <v>0.27359610093105086</v>
      </c>
    </row>
    <row r="1066" spans="1:19" x14ac:dyDescent="0.25">
      <c r="A1066" s="273"/>
      <c r="B1066" s="230"/>
      <c r="C1066" s="230"/>
      <c r="D1066" s="230"/>
      <c r="E1066" s="230"/>
      <c r="F1066" s="221"/>
      <c r="G1066" s="222"/>
      <c r="H1066" s="221"/>
      <c r="I1066" s="222"/>
      <c r="J1066" s="230"/>
      <c r="K1066" s="43"/>
      <c r="L1066" s="241"/>
      <c r="M1066" s="43" t="s">
        <v>505</v>
      </c>
      <c r="N1066" s="14">
        <f>2*630</f>
        <v>1260</v>
      </c>
      <c r="O1066" s="35">
        <v>148.74852335401499</v>
      </c>
      <c r="P1066" s="35"/>
      <c r="Q1066" s="35"/>
      <c r="R1066" s="146">
        <f t="shared" si="124"/>
        <v>148.74852335401499</v>
      </c>
      <c r="S1066" s="2">
        <f t="shared" si="125"/>
        <v>0.12831998218945392</v>
      </c>
    </row>
    <row r="1067" spans="1:19" x14ac:dyDescent="0.25">
      <c r="A1067" s="274"/>
      <c r="B1067" s="230"/>
      <c r="C1067" s="230"/>
      <c r="D1067" s="230"/>
      <c r="E1067" s="230"/>
      <c r="F1067" s="223"/>
      <c r="G1067" s="224"/>
      <c r="H1067" s="221"/>
      <c r="I1067" s="222"/>
      <c r="J1067" s="231"/>
      <c r="K1067" s="43"/>
      <c r="L1067" s="242"/>
      <c r="M1067" s="43" t="s">
        <v>508</v>
      </c>
      <c r="N1067" s="160">
        <f>2*1000</f>
        <v>2000</v>
      </c>
      <c r="O1067" s="35">
        <v>247.475419385441</v>
      </c>
      <c r="P1067" s="35"/>
      <c r="Q1067" s="35"/>
      <c r="R1067" s="146">
        <f t="shared" si="124"/>
        <v>247.475419385441</v>
      </c>
      <c r="S1067" s="2">
        <f t="shared" si="125"/>
        <v>0.13449751053556577</v>
      </c>
    </row>
    <row r="1068" spans="1:19" x14ac:dyDescent="0.25">
      <c r="A1068" s="272">
        <v>55</v>
      </c>
      <c r="B1068" s="230"/>
      <c r="C1068" s="230"/>
      <c r="D1068" s="230"/>
      <c r="E1068" s="230"/>
      <c r="F1068" s="219" t="s">
        <v>24</v>
      </c>
      <c r="G1068" s="220"/>
      <c r="H1068" s="221"/>
      <c r="I1068" s="222"/>
      <c r="J1068" s="229"/>
      <c r="K1068" s="43"/>
      <c r="L1068" s="240">
        <f>SUM(S1068:S1088)</f>
        <v>3.2891250372816137</v>
      </c>
      <c r="M1068" s="43" t="s">
        <v>502</v>
      </c>
      <c r="N1068" s="14">
        <v>400</v>
      </c>
      <c r="O1068" s="35">
        <v>62.527034153236499</v>
      </c>
      <c r="P1068" s="35"/>
      <c r="Q1068" s="35"/>
      <c r="R1068" s="146">
        <f t="shared" si="124"/>
        <v>62.527034153236499</v>
      </c>
      <c r="S1068" s="2">
        <f t="shared" si="125"/>
        <v>0.16991041889466441</v>
      </c>
    </row>
    <row r="1069" spans="1:19" x14ac:dyDescent="0.25">
      <c r="A1069" s="273"/>
      <c r="B1069" s="230"/>
      <c r="C1069" s="230"/>
      <c r="D1069" s="230"/>
      <c r="E1069" s="230"/>
      <c r="F1069" s="221"/>
      <c r="G1069" s="222"/>
      <c r="H1069" s="221"/>
      <c r="I1069" s="222"/>
      <c r="J1069" s="230"/>
      <c r="K1069" s="43"/>
      <c r="L1069" s="241"/>
      <c r="M1069" s="43" t="s">
        <v>511</v>
      </c>
      <c r="N1069" s="14">
        <f>2*630</f>
        <v>1260</v>
      </c>
      <c r="O1069" s="35">
        <v>147.432164740263</v>
      </c>
      <c r="P1069" s="35"/>
      <c r="Q1069" s="35"/>
      <c r="R1069" s="146">
        <f t="shared" si="124"/>
        <v>147.432164740263</v>
      </c>
      <c r="S1069" s="2">
        <f t="shared" si="125"/>
        <v>0.12718440712583073</v>
      </c>
    </row>
    <row r="1070" spans="1:19" x14ac:dyDescent="0.25">
      <c r="A1070" s="273"/>
      <c r="B1070" s="230"/>
      <c r="C1070" s="230"/>
      <c r="D1070" s="230"/>
      <c r="E1070" s="230"/>
      <c r="F1070" s="221"/>
      <c r="G1070" s="222"/>
      <c r="H1070" s="221"/>
      <c r="I1070" s="222"/>
      <c r="J1070" s="230"/>
      <c r="K1070" s="43"/>
      <c r="L1070" s="241"/>
      <c r="M1070" s="43" t="s">
        <v>519</v>
      </c>
      <c r="N1070" s="3">
        <f>2*250</f>
        <v>500</v>
      </c>
      <c r="O1070" s="35">
        <v>54.628882470722402</v>
      </c>
      <c r="P1070" s="35"/>
      <c r="Q1070" s="35"/>
      <c r="R1070" s="146">
        <f t="shared" si="124"/>
        <v>54.628882470722402</v>
      </c>
      <c r="S1070" s="2">
        <f t="shared" si="125"/>
        <v>0.11875844015374436</v>
      </c>
    </row>
    <row r="1071" spans="1:19" ht="31.5" x14ac:dyDescent="0.25">
      <c r="A1071" s="273"/>
      <c r="B1071" s="230"/>
      <c r="C1071" s="230"/>
      <c r="D1071" s="230"/>
      <c r="E1071" s="230"/>
      <c r="F1071" s="221"/>
      <c r="G1071" s="222"/>
      <c r="H1071" s="221"/>
      <c r="I1071" s="222"/>
      <c r="J1071" s="230"/>
      <c r="K1071" s="43"/>
      <c r="L1071" s="241"/>
      <c r="M1071" s="43" t="s">
        <v>532</v>
      </c>
      <c r="N1071" s="3">
        <f>2*400</f>
        <v>800</v>
      </c>
      <c r="O1071" s="35">
        <v>148.09034404713901</v>
      </c>
      <c r="P1071" s="35"/>
      <c r="Q1071" s="35"/>
      <c r="R1071" s="146">
        <f t="shared" si="124"/>
        <v>148.09034404713901</v>
      </c>
      <c r="S1071" s="2">
        <f t="shared" si="125"/>
        <v>0.20120970658578671</v>
      </c>
    </row>
    <row r="1072" spans="1:19" ht="31.5" x14ac:dyDescent="0.25">
      <c r="A1072" s="273"/>
      <c r="B1072" s="230"/>
      <c r="C1072" s="230"/>
      <c r="D1072" s="230"/>
      <c r="E1072" s="230"/>
      <c r="F1072" s="221"/>
      <c r="G1072" s="222"/>
      <c r="H1072" s="221"/>
      <c r="I1072" s="222"/>
      <c r="J1072" s="230"/>
      <c r="K1072" s="43"/>
      <c r="L1072" s="241"/>
      <c r="M1072" s="43" t="s">
        <v>533</v>
      </c>
      <c r="N1072" s="3">
        <f t="shared" ref="N1072:N1073" si="126">2*250</f>
        <v>500</v>
      </c>
      <c r="O1072" s="35">
        <v>105.966868407064</v>
      </c>
      <c r="P1072" s="35"/>
      <c r="Q1072" s="35"/>
      <c r="R1072" s="146">
        <f t="shared" si="124"/>
        <v>105.966868407064</v>
      </c>
      <c r="S1072" s="2">
        <f t="shared" si="125"/>
        <v>0.23036275740666087</v>
      </c>
    </row>
    <row r="1073" spans="1:19" ht="31.5" x14ac:dyDescent="0.25">
      <c r="A1073" s="273"/>
      <c r="B1073" s="230"/>
      <c r="C1073" s="230"/>
      <c r="D1073" s="230"/>
      <c r="E1073" s="230"/>
      <c r="F1073" s="221"/>
      <c r="G1073" s="222"/>
      <c r="H1073" s="221"/>
      <c r="I1073" s="222"/>
      <c r="J1073" s="230"/>
      <c r="K1073" s="43"/>
      <c r="L1073" s="241"/>
      <c r="M1073" s="43" t="s">
        <v>534</v>
      </c>
      <c r="N1073" s="3">
        <f t="shared" si="126"/>
        <v>500</v>
      </c>
      <c r="O1073" s="35">
        <v>68.450647915122005</v>
      </c>
      <c r="P1073" s="35"/>
      <c r="Q1073" s="35"/>
      <c r="R1073" s="146">
        <f t="shared" si="124"/>
        <v>68.450647915122005</v>
      </c>
      <c r="S1073" s="2">
        <f t="shared" si="125"/>
        <v>0.14880575633722176</v>
      </c>
    </row>
    <row r="1074" spans="1:19" x14ac:dyDescent="0.25">
      <c r="A1074" s="273"/>
      <c r="B1074" s="230"/>
      <c r="C1074" s="230"/>
      <c r="D1074" s="230"/>
      <c r="E1074" s="230"/>
      <c r="F1074" s="221"/>
      <c r="G1074" s="222"/>
      <c r="H1074" s="221"/>
      <c r="I1074" s="222"/>
      <c r="J1074" s="230"/>
      <c r="K1074" s="43"/>
      <c r="L1074" s="241"/>
      <c r="M1074" s="39" t="s">
        <v>1255</v>
      </c>
      <c r="N1074" s="14">
        <v>400</v>
      </c>
      <c r="O1074" s="35">
        <v>67.792468608245898</v>
      </c>
      <c r="P1074" s="35"/>
      <c r="Q1074" s="35"/>
      <c r="R1074" s="146">
        <f t="shared" si="124"/>
        <v>67.792468608245898</v>
      </c>
      <c r="S1074" s="2">
        <f t="shared" si="125"/>
        <v>0.18421866469632037</v>
      </c>
    </row>
    <row r="1075" spans="1:19" x14ac:dyDescent="0.25">
      <c r="A1075" s="273"/>
      <c r="B1075" s="230"/>
      <c r="C1075" s="230"/>
      <c r="D1075" s="230"/>
      <c r="E1075" s="230"/>
      <c r="F1075" s="221"/>
      <c r="G1075" s="222"/>
      <c r="H1075" s="221"/>
      <c r="I1075" s="222"/>
      <c r="J1075" s="230"/>
      <c r="K1075" s="43"/>
      <c r="L1075" s="241"/>
      <c r="M1075" s="39" t="s">
        <v>1256</v>
      </c>
      <c r="N1075" s="86">
        <f>2*400</f>
        <v>800</v>
      </c>
      <c r="O1075" s="35">
        <v>64.501572073865006</v>
      </c>
      <c r="P1075" s="35"/>
      <c r="Q1075" s="35"/>
      <c r="R1075" s="146">
        <f t="shared" si="124"/>
        <v>64.501572073865006</v>
      </c>
      <c r="S1075" s="2">
        <f t="shared" si="125"/>
        <v>8.7638005535142671E-2</v>
      </c>
    </row>
    <row r="1076" spans="1:19" x14ac:dyDescent="0.25">
      <c r="A1076" s="273"/>
      <c r="B1076" s="230"/>
      <c r="C1076" s="230"/>
      <c r="D1076" s="230"/>
      <c r="E1076" s="230"/>
      <c r="F1076" s="221"/>
      <c r="G1076" s="222"/>
      <c r="H1076" s="221"/>
      <c r="I1076" s="222"/>
      <c r="J1076" s="230"/>
      <c r="K1076" s="43"/>
      <c r="L1076" s="241"/>
      <c r="M1076" s="39" t="s">
        <v>1257</v>
      </c>
      <c r="N1076" s="14">
        <f>2*250</f>
        <v>500</v>
      </c>
      <c r="O1076" s="35">
        <v>40.1489377194466</v>
      </c>
      <c r="P1076" s="35"/>
      <c r="Q1076" s="35"/>
      <c r="R1076" s="146">
        <f t="shared" si="124"/>
        <v>40.1489377194466</v>
      </c>
      <c r="S1076" s="2">
        <f t="shared" si="125"/>
        <v>8.7280299390101304E-2</v>
      </c>
    </row>
    <row r="1077" spans="1:19" x14ac:dyDescent="0.25">
      <c r="A1077" s="273"/>
      <c r="B1077" s="230"/>
      <c r="C1077" s="230"/>
      <c r="D1077" s="230"/>
      <c r="E1077" s="230"/>
      <c r="F1077" s="221"/>
      <c r="G1077" s="222"/>
      <c r="H1077" s="221"/>
      <c r="I1077" s="222"/>
      <c r="J1077" s="230"/>
      <c r="K1077" s="43"/>
      <c r="L1077" s="241"/>
      <c r="M1077" s="39" t="s">
        <v>1258</v>
      </c>
      <c r="N1077" s="14">
        <v>250</v>
      </c>
      <c r="O1077" s="35">
        <v>23.036275740666099</v>
      </c>
      <c r="P1077" s="35"/>
      <c r="Q1077" s="35"/>
      <c r="R1077" s="146">
        <f t="shared" si="124"/>
        <v>23.036275740666099</v>
      </c>
      <c r="S1077" s="2">
        <f t="shared" si="125"/>
        <v>0.10015772061159174</v>
      </c>
    </row>
    <row r="1078" spans="1:19" x14ac:dyDescent="0.25">
      <c r="A1078" s="273"/>
      <c r="B1078" s="230"/>
      <c r="C1078" s="230"/>
      <c r="D1078" s="230"/>
      <c r="E1078" s="230"/>
      <c r="F1078" s="221"/>
      <c r="G1078" s="222"/>
      <c r="H1078" s="221"/>
      <c r="I1078" s="222"/>
      <c r="J1078" s="230"/>
      <c r="K1078" s="43"/>
      <c r="L1078" s="241"/>
      <c r="M1078" s="39" t="s">
        <v>1259</v>
      </c>
      <c r="N1078" s="1">
        <f>2*630</f>
        <v>1260</v>
      </c>
      <c r="O1078" s="35">
        <v>114.523199396454</v>
      </c>
      <c r="P1078" s="35"/>
      <c r="Q1078" s="35"/>
      <c r="R1078" s="146">
        <f t="shared" si="124"/>
        <v>114.523199396454</v>
      </c>
      <c r="S1078" s="2">
        <f t="shared" si="125"/>
        <v>9.8795030535243272E-2</v>
      </c>
    </row>
    <row r="1079" spans="1:19" x14ac:dyDescent="0.25">
      <c r="A1079" s="273"/>
      <c r="B1079" s="230"/>
      <c r="C1079" s="230"/>
      <c r="D1079" s="230"/>
      <c r="E1079" s="230"/>
      <c r="F1079" s="221"/>
      <c r="G1079" s="222"/>
      <c r="H1079" s="221"/>
      <c r="I1079" s="222"/>
      <c r="J1079" s="230"/>
      <c r="K1079" s="43"/>
      <c r="L1079" s="241"/>
      <c r="M1079" s="39" t="s">
        <v>1260</v>
      </c>
      <c r="N1079" s="14">
        <v>250</v>
      </c>
      <c r="O1079" s="35">
        <v>65.817930687617306</v>
      </c>
      <c r="P1079" s="35"/>
      <c r="Q1079" s="35"/>
      <c r="R1079" s="146">
        <f t="shared" si="124"/>
        <v>65.817930687617306</v>
      </c>
      <c r="S1079" s="2">
        <f t="shared" si="125"/>
        <v>0.28616491603311872</v>
      </c>
    </row>
    <row r="1080" spans="1:19" x14ac:dyDescent="0.25">
      <c r="A1080" s="273"/>
      <c r="B1080" s="230"/>
      <c r="C1080" s="230"/>
      <c r="D1080" s="230"/>
      <c r="E1080" s="230"/>
      <c r="F1080" s="221"/>
      <c r="G1080" s="222"/>
      <c r="H1080" s="221"/>
      <c r="I1080" s="222"/>
      <c r="J1080" s="230"/>
      <c r="K1080" s="43"/>
      <c r="L1080" s="241"/>
      <c r="M1080" s="39" t="s">
        <v>1261</v>
      </c>
      <c r="N1080" s="14">
        <v>40</v>
      </c>
      <c r="O1080" s="35">
        <v>13.821765444399601</v>
      </c>
      <c r="P1080" s="35"/>
      <c r="Q1080" s="35"/>
      <c r="R1080" s="146">
        <f t="shared" si="124"/>
        <v>13.821765444399601</v>
      </c>
      <c r="S1080" s="2">
        <f t="shared" si="125"/>
        <v>0.37559145229346735</v>
      </c>
    </row>
    <row r="1081" spans="1:19" x14ac:dyDescent="0.25">
      <c r="A1081" s="273"/>
      <c r="B1081" s="230"/>
      <c r="C1081" s="230"/>
      <c r="D1081" s="230"/>
      <c r="E1081" s="230"/>
      <c r="F1081" s="221"/>
      <c r="G1081" s="222"/>
      <c r="H1081" s="221"/>
      <c r="I1081" s="222"/>
      <c r="J1081" s="230"/>
      <c r="K1081" s="43"/>
      <c r="L1081" s="241"/>
      <c r="M1081" s="39" t="s">
        <v>1262</v>
      </c>
      <c r="N1081" s="86">
        <f t="shared" ref="N1081:N1082" si="127">2*400</f>
        <v>800</v>
      </c>
      <c r="O1081" s="35">
        <v>37.516220491941901</v>
      </c>
      <c r="P1081" s="35"/>
      <c r="Q1081" s="35"/>
      <c r="R1081" s="146">
        <f t="shared" si="124"/>
        <v>37.516220491941901</v>
      </c>
      <c r="S1081" s="2">
        <f t="shared" si="125"/>
        <v>5.0973125668399323E-2</v>
      </c>
    </row>
    <row r="1082" spans="1:19" x14ac:dyDescent="0.25">
      <c r="A1082" s="273"/>
      <c r="B1082" s="230"/>
      <c r="C1082" s="230"/>
      <c r="D1082" s="230"/>
      <c r="E1082" s="230"/>
      <c r="F1082" s="221"/>
      <c r="G1082" s="222"/>
      <c r="H1082" s="221"/>
      <c r="I1082" s="222"/>
      <c r="J1082" s="230"/>
      <c r="K1082" s="43"/>
      <c r="L1082" s="241"/>
      <c r="M1082" s="39" t="s">
        <v>1263</v>
      </c>
      <c r="N1082" s="86">
        <f t="shared" si="127"/>
        <v>800</v>
      </c>
      <c r="O1082" s="35">
        <v>10.5308689100188</v>
      </c>
      <c r="P1082" s="35"/>
      <c r="Q1082" s="35"/>
      <c r="R1082" s="146">
        <f t="shared" si="124"/>
        <v>10.5308689100188</v>
      </c>
      <c r="S1082" s="2">
        <f t="shared" si="125"/>
        <v>1.4308245801655978E-2</v>
      </c>
    </row>
    <row r="1083" spans="1:19" x14ac:dyDescent="0.25">
      <c r="A1083" s="273"/>
      <c r="B1083" s="230"/>
      <c r="C1083" s="230"/>
      <c r="D1083" s="230"/>
      <c r="E1083" s="230"/>
      <c r="F1083" s="221"/>
      <c r="G1083" s="222"/>
      <c r="H1083" s="221"/>
      <c r="I1083" s="222"/>
      <c r="J1083" s="230"/>
      <c r="K1083" s="43"/>
      <c r="L1083" s="241"/>
      <c r="M1083" s="39" t="s">
        <v>1264</v>
      </c>
      <c r="N1083" s="14">
        <v>400</v>
      </c>
      <c r="O1083" s="35">
        <v>65.817930687617306</v>
      </c>
      <c r="P1083" s="35"/>
      <c r="Q1083" s="35"/>
      <c r="R1083" s="146">
        <f t="shared" si="124"/>
        <v>65.817930687617306</v>
      </c>
      <c r="S1083" s="2">
        <f t="shared" si="125"/>
        <v>0.17885307252069921</v>
      </c>
    </row>
    <row r="1084" spans="1:19" x14ac:dyDescent="0.25">
      <c r="A1084" s="273"/>
      <c r="B1084" s="230"/>
      <c r="C1084" s="230"/>
      <c r="D1084" s="230"/>
      <c r="E1084" s="230"/>
      <c r="F1084" s="221"/>
      <c r="G1084" s="222"/>
      <c r="H1084" s="221"/>
      <c r="I1084" s="222"/>
      <c r="J1084" s="230"/>
      <c r="K1084" s="43"/>
      <c r="L1084" s="241"/>
      <c r="M1084" s="43" t="s">
        <v>515</v>
      </c>
      <c r="N1084" s="3">
        <f t="shared" ref="N1084:N1085" si="128">2*400</f>
        <v>800</v>
      </c>
      <c r="O1084" s="35">
        <v>113.206840782702</v>
      </c>
      <c r="P1084" s="35"/>
      <c r="Q1084" s="35"/>
      <c r="R1084" s="146">
        <f t="shared" si="124"/>
        <v>113.206840782702</v>
      </c>
      <c r="S1084" s="2">
        <f t="shared" si="125"/>
        <v>0.15381364236780162</v>
      </c>
    </row>
    <row r="1085" spans="1:19" x14ac:dyDescent="0.25">
      <c r="A1085" s="273"/>
      <c r="B1085" s="230"/>
      <c r="C1085" s="230"/>
      <c r="D1085" s="230"/>
      <c r="E1085" s="230"/>
      <c r="F1085" s="221"/>
      <c r="G1085" s="222"/>
      <c r="H1085" s="221"/>
      <c r="I1085" s="222"/>
      <c r="J1085" s="230"/>
      <c r="K1085" s="43"/>
      <c r="L1085" s="241"/>
      <c r="M1085" s="43" t="s">
        <v>518</v>
      </c>
      <c r="N1085" s="3">
        <f t="shared" si="128"/>
        <v>800</v>
      </c>
      <c r="O1085" s="35">
        <v>53.312523856970003</v>
      </c>
      <c r="P1085" s="35"/>
      <c r="Q1085" s="35"/>
      <c r="R1085" s="146">
        <f t="shared" si="124"/>
        <v>53.312523856970003</v>
      </c>
      <c r="S1085" s="2">
        <f t="shared" si="125"/>
        <v>7.2435494370883161E-2</v>
      </c>
    </row>
    <row r="1086" spans="1:19" x14ac:dyDescent="0.25">
      <c r="A1086" s="273"/>
      <c r="B1086" s="230"/>
      <c r="C1086" s="230"/>
      <c r="D1086" s="230"/>
      <c r="E1086" s="230"/>
      <c r="F1086" s="221"/>
      <c r="G1086" s="222"/>
      <c r="H1086" s="221"/>
      <c r="I1086" s="222"/>
      <c r="J1086" s="230"/>
      <c r="K1086" s="43"/>
      <c r="L1086" s="241"/>
      <c r="M1086" s="43" t="s">
        <v>514</v>
      </c>
      <c r="N1086" s="14">
        <f>2*630</f>
        <v>1260</v>
      </c>
      <c r="O1086" s="35">
        <v>90.170565042035705</v>
      </c>
      <c r="P1086" s="35"/>
      <c r="Q1086" s="35"/>
      <c r="R1086" s="146">
        <f t="shared" si="124"/>
        <v>90.170565042035705</v>
      </c>
      <c r="S1086" s="2">
        <f t="shared" si="125"/>
        <v>7.7786891858208848E-2</v>
      </c>
    </row>
    <row r="1087" spans="1:19" x14ac:dyDescent="0.25">
      <c r="A1087" s="273"/>
      <c r="B1087" s="230"/>
      <c r="C1087" s="230"/>
      <c r="D1087" s="230"/>
      <c r="E1087" s="230"/>
      <c r="F1087" s="221"/>
      <c r="G1087" s="222"/>
      <c r="H1087" s="221"/>
      <c r="I1087" s="222"/>
      <c r="J1087" s="230"/>
      <c r="K1087" s="43"/>
      <c r="L1087" s="241"/>
      <c r="M1087" s="43" t="s">
        <v>510</v>
      </c>
      <c r="N1087" s="3">
        <f>2*400</f>
        <v>800</v>
      </c>
      <c r="O1087" s="35">
        <v>315.267887993687</v>
      </c>
      <c r="P1087" s="35"/>
      <c r="Q1087" s="35"/>
      <c r="R1087" s="146">
        <f t="shared" si="124"/>
        <v>315.267887993687</v>
      </c>
      <c r="S1087" s="2">
        <f t="shared" si="125"/>
        <v>0.42835310868707471</v>
      </c>
    </row>
    <row r="1088" spans="1:19" x14ac:dyDescent="0.25">
      <c r="A1088" s="274"/>
      <c r="B1088" s="230"/>
      <c r="C1088" s="230"/>
      <c r="D1088" s="230"/>
      <c r="E1088" s="230"/>
      <c r="F1088" s="223"/>
      <c r="G1088" s="224"/>
      <c r="H1088" s="221"/>
      <c r="I1088" s="222"/>
      <c r="J1088" s="231"/>
      <c r="K1088" s="43"/>
      <c r="L1088" s="242"/>
      <c r="M1088" s="43" t="s">
        <v>499</v>
      </c>
      <c r="N1088" s="14">
        <v>630</v>
      </c>
      <c r="O1088" s="35">
        <v>55.945241084474702</v>
      </c>
      <c r="P1088" s="35"/>
      <c r="Q1088" s="35"/>
      <c r="R1088" s="146">
        <f t="shared" si="124"/>
        <v>55.945241084474702</v>
      </c>
      <c r="S1088" s="2">
        <f t="shared" si="125"/>
        <v>9.6523880407996379E-2</v>
      </c>
    </row>
    <row r="1089" spans="1:19" x14ac:dyDescent="0.25">
      <c r="A1089" s="229">
        <v>56</v>
      </c>
      <c r="B1089" s="230"/>
      <c r="C1089" s="230"/>
      <c r="D1089" s="230"/>
      <c r="E1089" s="230"/>
      <c r="F1089" s="219" t="s">
        <v>25</v>
      </c>
      <c r="G1089" s="220"/>
      <c r="H1089" s="221"/>
      <c r="I1089" s="222"/>
      <c r="J1089" s="229"/>
      <c r="K1089" s="43"/>
      <c r="L1089" s="240">
        <f>SUM(S1089:S1117)</f>
        <v>4.6031500442782152</v>
      </c>
      <c r="M1089" s="43" t="s">
        <v>418</v>
      </c>
      <c r="N1089" s="3">
        <f>2*400</f>
        <v>800</v>
      </c>
      <c r="O1089" s="35">
        <v>51.337985936341497</v>
      </c>
      <c r="P1089" s="35"/>
      <c r="Q1089" s="35"/>
      <c r="R1089" s="146">
        <f t="shared" si="124"/>
        <v>51.337985936341497</v>
      </c>
      <c r="S1089" s="2">
        <f t="shared" si="125"/>
        <v>6.9752698283072692E-2</v>
      </c>
    </row>
    <row r="1090" spans="1:19" x14ac:dyDescent="0.25">
      <c r="A1090" s="230"/>
      <c r="B1090" s="230"/>
      <c r="C1090" s="230"/>
      <c r="D1090" s="230"/>
      <c r="E1090" s="230"/>
      <c r="F1090" s="221"/>
      <c r="G1090" s="222"/>
      <c r="H1090" s="221"/>
      <c r="I1090" s="222"/>
      <c r="J1090" s="230"/>
      <c r="K1090" s="43"/>
      <c r="L1090" s="241"/>
      <c r="M1090" s="43" t="s">
        <v>419</v>
      </c>
      <c r="N1090" s="14">
        <f t="shared" ref="N1090:N1092" si="129">2*630</f>
        <v>1260</v>
      </c>
      <c r="O1090" s="35">
        <v>188.239281766586</v>
      </c>
      <c r="P1090" s="35"/>
      <c r="Q1090" s="35"/>
      <c r="R1090" s="146">
        <f t="shared" si="124"/>
        <v>188.239281766586</v>
      </c>
      <c r="S1090" s="2">
        <f t="shared" si="125"/>
        <v>0.16238723409815908</v>
      </c>
    </row>
    <row r="1091" spans="1:19" x14ac:dyDescent="0.25">
      <c r="A1091" s="230"/>
      <c r="B1091" s="230"/>
      <c r="C1091" s="230"/>
      <c r="D1091" s="230"/>
      <c r="E1091" s="230"/>
      <c r="F1091" s="221"/>
      <c r="G1091" s="222"/>
      <c r="H1091" s="221"/>
      <c r="I1091" s="222"/>
      <c r="J1091" s="230"/>
      <c r="K1091" s="43"/>
      <c r="L1091" s="241"/>
      <c r="M1091" s="43" t="s">
        <v>442</v>
      </c>
      <c r="N1091" s="14">
        <f t="shared" si="129"/>
        <v>1260</v>
      </c>
      <c r="O1091" s="35">
        <v>150.72306127464401</v>
      </c>
      <c r="P1091" s="35"/>
      <c r="Q1091" s="35"/>
      <c r="R1091" s="146">
        <f t="shared" si="124"/>
        <v>150.72306127464401</v>
      </c>
      <c r="S1091" s="2">
        <f t="shared" si="125"/>
        <v>0.13002334478488958</v>
      </c>
    </row>
    <row r="1092" spans="1:19" x14ac:dyDescent="0.25">
      <c r="A1092" s="230"/>
      <c r="B1092" s="230"/>
      <c r="C1092" s="230"/>
      <c r="D1092" s="230"/>
      <c r="E1092" s="230"/>
      <c r="F1092" s="221"/>
      <c r="G1092" s="222"/>
      <c r="H1092" s="221"/>
      <c r="I1092" s="222"/>
      <c r="J1092" s="230"/>
      <c r="K1092" s="43"/>
      <c r="L1092" s="241"/>
      <c r="M1092" s="43" t="s">
        <v>445</v>
      </c>
      <c r="N1092" s="14">
        <f t="shared" si="129"/>
        <v>1260</v>
      </c>
      <c r="O1092" s="35">
        <v>238.919088396051</v>
      </c>
      <c r="P1092" s="35"/>
      <c r="Q1092" s="35"/>
      <c r="R1092" s="146">
        <f t="shared" si="124"/>
        <v>238.919088396051</v>
      </c>
      <c r="S1092" s="2">
        <f t="shared" si="125"/>
        <v>0.20610687404766304</v>
      </c>
    </row>
    <row r="1093" spans="1:19" x14ac:dyDescent="0.25">
      <c r="A1093" s="230"/>
      <c r="B1093" s="230"/>
      <c r="C1093" s="230"/>
      <c r="D1093" s="230"/>
      <c r="E1093" s="230"/>
      <c r="F1093" s="221"/>
      <c r="G1093" s="222"/>
      <c r="H1093" s="221"/>
      <c r="I1093" s="222"/>
      <c r="J1093" s="230"/>
      <c r="K1093" s="43"/>
      <c r="L1093" s="241"/>
      <c r="M1093" s="43" t="s">
        <v>476</v>
      </c>
      <c r="N1093" s="3">
        <f t="shared" ref="N1093:N1094" si="130">2*400</f>
        <v>800</v>
      </c>
      <c r="O1093" s="35">
        <v>252.740853840451</v>
      </c>
      <c r="P1093" s="35"/>
      <c r="Q1093" s="35"/>
      <c r="R1093" s="146">
        <f t="shared" si="124"/>
        <v>252.740853840451</v>
      </c>
      <c r="S1093" s="2">
        <f t="shared" si="125"/>
        <v>0.34339789923974318</v>
      </c>
    </row>
    <row r="1094" spans="1:19" x14ac:dyDescent="0.25">
      <c r="A1094" s="230"/>
      <c r="B1094" s="230"/>
      <c r="C1094" s="230"/>
      <c r="D1094" s="230"/>
      <c r="E1094" s="230"/>
      <c r="F1094" s="221"/>
      <c r="G1094" s="222"/>
      <c r="H1094" s="221"/>
      <c r="I1094" s="222"/>
      <c r="J1094" s="230"/>
      <c r="K1094" s="43"/>
      <c r="L1094" s="241"/>
      <c r="M1094" s="43" t="s">
        <v>497</v>
      </c>
      <c r="N1094" s="3">
        <f t="shared" si="130"/>
        <v>800</v>
      </c>
      <c r="O1094" s="35">
        <v>126.370426920225</v>
      </c>
      <c r="P1094" s="35"/>
      <c r="Q1094" s="35"/>
      <c r="R1094" s="146">
        <f t="shared" si="124"/>
        <v>126.370426920225</v>
      </c>
      <c r="S1094" s="2">
        <f t="shared" si="125"/>
        <v>0.17169894961987092</v>
      </c>
    </row>
    <row r="1095" spans="1:19" x14ac:dyDescent="0.25">
      <c r="A1095" s="230"/>
      <c r="B1095" s="230"/>
      <c r="C1095" s="230"/>
      <c r="D1095" s="230"/>
      <c r="E1095" s="230"/>
      <c r="F1095" s="221"/>
      <c r="G1095" s="222"/>
      <c r="H1095" s="221"/>
      <c r="I1095" s="222"/>
      <c r="J1095" s="230"/>
      <c r="K1095" s="43"/>
      <c r="L1095" s="241"/>
      <c r="M1095" s="43" t="s">
        <v>491</v>
      </c>
      <c r="N1095" s="14">
        <f>2*630</f>
        <v>1260</v>
      </c>
      <c r="O1095" s="35">
        <v>114.523199396454</v>
      </c>
      <c r="P1095" s="35"/>
      <c r="Q1095" s="35"/>
      <c r="R1095" s="146">
        <f t="shared" si="124"/>
        <v>114.523199396454</v>
      </c>
      <c r="S1095" s="2">
        <f t="shared" si="125"/>
        <v>9.8795030535243272E-2</v>
      </c>
    </row>
    <row r="1096" spans="1:19" x14ac:dyDescent="0.25">
      <c r="A1096" s="230"/>
      <c r="B1096" s="230"/>
      <c r="C1096" s="230"/>
      <c r="D1096" s="230"/>
      <c r="E1096" s="230"/>
      <c r="F1096" s="221"/>
      <c r="G1096" s="222"/>
      <c r="H1096" s="221"/>
      <c r="I1096" s="222"/>
      <c r="J1096" s="230"/>
      <c r="K1096" s="43"/>
      <c r="L1096" s="241"/>
      <c r="M1096" s="43" t="s">
        <v>1265</v>
      </c>
      <c r="N1096" s="14">
        <v>630</v>
      </c>
      <c r="O1096" s="35">
        <v>44.098013560703599</v>
      </c>
      <c r="P1096" s="35"/>
      <c r="Q1096" s="35"/>
      <c r="R1096" s="146">
        <f t="shared" si="124"/>
        <v>44.098013560703599</v>
      </c>
      <c r="S1096" s="2">
        <f t="shared" si="125"/>
        <v>7.6083529262773633E-2</v>
      </c>
    </row>
    <row r="1097" spans="1:19" x14ac:dyDescent="0.25">
      <c r="A1097" s="230"/>
      <c r="B1097" s="230"/>
      <c r="C1097" s="230"/>
      <c r="D1097" s="230"/>
      <c r="E1097" s="230"/>
      <c r="F1097" s="221"/>
      <c r="G1097" s="222"/>
      <c r="H1097" s="221"/>
      <c r="I1097" s="222"/>
      <c r="J1097" s="230"/>
      <c r="K1097" s="43"/>
      <c r="L1097" s="241"/>
      <c r="M1097" s="43" t="s">
        <v>1266</v>
      </c>
      <c r="N1097" s="14">
        <v>630</v>
      </c>
      <c r="O1097" s="35">
        <v>63.843392766988799</v>
      </c>
      <c r="P1097" s="35"/>
      <c r="Q1097" s="35"/>
      <c r="R1097" s="146">
        <f t="shared" si="124"/>
        <v>63.843392766988799</v>
      </c>
      <c r="S1097" s="2">
        <f t="shared" si="125"/>
        <v>0.11015078117147825</v>
      </c>
    </row>
    <row r="1098" spans="1:19" x14ac:dyDescent="0.25">
      <c r="A1098" s="230"/>
      <c r="B1098" s="230"/>
      <c r="C1098" s="230"/>
      <c r="D1098" s="230"/>
      <c r="E1098" s="230"/>
      <c r="F1098" s="221"/>
      <c r="G1098" s="222"/>
      <c r="H1098" s="221"/>
      <c r="I1098" s="222"/>
      <c r="J1098" s="230"/>
      <c r="K1098" s="43"/>
      <c r="L1098" s="241"/>
      <c r="M1098" s="43" t="s">
        <v>1267</v>
      </c>
      <c r="N1098" s="14">
        <v>250</v>
      </c>
      <c r="O1098" s="35">
        <v>60.552496232608</v>
      </c>
      <c r="P1098" s="35"/>
      <c r="Q1098" s="35"/>
      <c r="R1098" s="146">
        <f t="shared" si="124"/>
        <v>60.552496232608</v>
      </c>
      <c r="S1098" s="2">
        <f t="shared" si="125"/>
        <v>0.26327172275046956</v>
      </c>
    </row>
    <row r="1099" spans="1:19" x14ac:dyDescent="0.25">
      <c r="A1099" s="230"/>
      <c r="B1099" s="230"/>
      <c r="C1099" s="230"/>
      <c r="D1099" s="230"/>
      <c r="E1099" s="230"/>
      <c r="F1099" s="221"/>
      <c r="G1099" s="222"/>
      <c r="H1099" s="221"/>
      <c r="I1099" s="222"/>
      <c r="J1099" s="230"/>
      <c r="K1099" s="43"/>
      <c r="L1099" s="241"/>
      <c r="M1099" s="43" t="s">
        <v>1268</v>
      </c>
      <c r="N1099" s="14">
        <v>250</v>
      </c>
      <c r="O1099" s="35">
        <v>53.312523856970003</v>
      </c>
      <c r="P1099" s="35"/>
      <c r="Q1099" s="35"/>
      <c r="R1099" s="146">
        <f t="shared" si="124"/>
        <v>53.312523856970003</v>
      </c>
      <c r="S1099" s="2">
        <f t="shared" si="125"/>
        <v>0.23179358198682609</v>
      </c>
    </row>
    <row r="1100" spans="1:19" x14ac:dyDescent="0.25">
      <c r="A1100" s="230"/>
      <c r="B1100" s="230"/>
      <c r="C1100" s="230"/>
      <c r="D1100" s="230"/>
      <c r="E1100" s="230"/>
      <c r="F1100" s="221"/>
      <c r="G1100" s="222"/>
      <c r="H1100" s="221"/>
      <c r="I1100" s="222"/>
      <c r="J1100" s="230"/>
      <c r="K1100" s="43"/>
      <c r="L1100" s="241"/>
      <c r="M1100" s="43" t="s">
        <v>1269</v>
      </c>
      <c r="N1100" s="14">
        <v>1000</v>
      </c>
      <c r="O1100" s="35">
        <v>140.19219236462499</v>
      </c>
      <c r="P1100" s="35"/>
      <c r="Q1100" s="35"/>
      <c r="R1100" s="146">
        <f t="shared" si="124"/>
        <v>140.19219236462499</v>
      </c>
      <c r="S1100" s="2">
        <f t="shared" si="125"/>
        <v>0.15238281778763585</v>
      </c>
    </row>
    <row r="1101" spans="1:19" x14ac:dyDescent="0.25">
      <c r="A1101" s="230"/>
      <c r="B1101" s="230"/>
      <c r="C1101" s="230"/>
      <c r="D1101" s="230"/>
      <c r="E1101" s="230"/>
      <c r="F1101" s="221"/>
      <c r="G1101" s="222"/>
      <c r="H1101" s="221"/>
      <c r="I1101" s="222"/>
      <c r="J1101" s="230"/>
      <c r="K1101" s="43"/>
      <c r="L1101" s="241"/>
      <c r="M1101" s="43" t="s">
        <v>1270</v>
      </c>
      <c r="N1101" s="14">
        <v>63</v>
      </c>
      <c r="O1101" s="35">
        <v>3.2908965343808698</v>
      </c>
      <c r="P1101" s="35"/>
      <c r="Q1101" s="35"/>
      <c r="R1101" s="146">
        <f t="shared" si="124"/>
        <v>3.2908965343808698</v>
      </c>
      <c r="S1101" s="2">
        <f t="shared" si="125"/>
        <v>5.6778753181174424E-2</v>
      </c>
    </row>
    <row r="1102" spans="1:19" x14ac:dyDescent="0.25">
      <c r="A1102" s="230"/>
      <c r="B1102" s="230"/>
      <c r="C1102" s="230"/>
      <c r="D1102" s="230"/>
      <c r="E1102" s="230"/>
      <c r="F1102" s="221"/>
      <c r="G1102" s="222"/>
      <c r="H1102" s="221"/>
      <c r="I1102" s="222"/>
      <c r="J1102" s="230"/>
      <c r="K1102" s="43"/>
      <c r="L1102" s="241"/>
      <c r="M1102" s="43" t="s">
        <v>1271</v>
      </c>
      <c r="N1102" s="14">
        <v>25</v>
      </c>
      <c r="O1102" s="35">
        <v>3.9490758412570401</v>
      </c>
      <c r="P1102" s="35"/>
      <c r="Q1102" s="35"/>
      <c r="R1102" s="146">
        <f t="shared" si="124"/>
        <v>3.9490758412570401</v>
      </c>
      <c r="S1102" s="2">
        <f t="shared" si="125"/>
        <v>0.17169894961987131</v>
      </c>
    </row>
    <row r="1103" spans="1:19" x14ac:dyDescent="0.25">
      <c r="A1103" s="230"/>
      <c r="B1103" s="230"/>
      <c r="C1103" s="230"/>
      <c r="D1103" s="230"/>
      <c r="E1103" s="230"/>
      <c r="F1103" s="221"/>
      <c r="G1103" s="222"/>
      <c r="H1103" s="221"/>
      <c r="I1103" s="222"/>
      <c r="J1103" s="230"/>
      <c r="K1103" s="43"/>
      <c r="L1103" s="241"/>
      <c r="M1103" s="43" t="s">
        <v>1272</v>
      </c>
      <c r="N1103" s="14">
        <v>400</v>
      </c>
      <c r="O1103" s="35">
        <v>74.374261677007595</v>
      </c>
      <c r="P1103" s="35"/>
      <c r="Q1103" s="35"/>
      <c r="R1103" s="146">
        <f t="shared" si="124"/>
        <v>74.374261677007595</v>
      </c>
      <c r="S1103" s="2">
        <f t="shared" si="125"/>
        <v>0.20210397194839019</v>
      </c>
    </row>
    <row r="1104" spans="1:19" x14ac:dyDescent="0.25">
      <c r="A1104" s="230"/>
      <c r="B1104" s="230"/>
      <c r="C1104" s="230"/>
      <c r="D1104" s="230"/>
      <c r="E1104" s="230"/>
      <c r="F1104" s="221"/>
      <c r="G1104" s="222"/>
      <c r="H1104" s="221"/>
      <c r="I1104" s="222"/>
      <c r="J1104" s="230"/>
      <c r="K1104" s="43"/>
      <c r="L1104" s="241"/>
      <c r="M1104" s="43" t="s">
        <v>1273</v>
      </c>
      <c r="N1104" s="14">
        <v>250</v>
      </c>
      <c r="O1104" s="35">
        <v>40.8071170263228</v>
      </c>
      <c r="P1104" s="35"/>
      <c r="Q1104" s="35"/>
      <c r="R1104" s="146">
        <f t="shared" si="124"/>
        <v>40.8071170263228</v>
      </c>
      <c r="S1104" s="2">
        <f t="shared" si="125"/>
        <v>0.17742224794053391</v>
      </c>
    </row>
    <row r="1105" spans="1:19" x14ac:dyDescent="0.25">
      <c r="A1105" s="230"/>
      <c r="B1105" s="230"/>
      <c r="C1105" s="230"/>
      <c r="D1105" s="230"/>
      <c r="E1105" s="230"/>
      <c r="F1105" s="221"/>
      <c r="G1105" s="222"/>
      <c r="H1105" s="221"/>
      <c r="I1105" s="222"/>
      <c r="J1105" s="230"/>
      <c r="K1105" s="43"/>
      <c r="L1105" s="241"/>
      <c r="M1105" s="43" t="s">
        <v>1274</v>
      </c>
      <c r="N1105" s="14">
        <v>250</v>
      </c>
      <c r="O1105" s="35">
        <v>80.956054745769293</v>
      </c>
      <c r="P1105" s="35"/>
      <c r="Q1105" s="35"/>
      <c r="R1105" s="146">
        <f t="shared" si="124"/>
        <v>80.956054745769293</v>
      </c>
      <c r="S1105" s="2">
        <f t="shared" si="125"/>
        <v>0.35198284672073604</v>
      </c>
    </row>
    <row r="1106" spans="1:19" x14ac:dyDescent="0.25">
      <c r="A1106" s="230"/>
      <c r="B1106" s="230"/>
      <c r="C1106" s="230"/>
      <c r="D1106" s="230"/>
      <c r="E1106" s="230"/>
      <c r="F1106" s="221"/>
      <c r="G1106" s="222"/>
      <c r="H1106" s="221"/>
      <c r="I1106" s="222"/>
      <c r="J1106" s="230"/>
      <c r="K1106" s="43"/>
      <c r="L1106" s="241"/>
      <c r="M1106" s="43" t="s">
        <v>1275</v>
      </c>
      <c r="N1106" s="86">
        <f>2*400</f>
        <v>800</v>
      </c>
      <c r="O1106" s="35">
        <v>143.48308889900599</v>
      </c>
      <c r="P1106" s="35"/>
      <c r="Q1106" s="35"/>
      <c r="R1106" s="146">
        <f t="shared" si="124"/>
        <v>143.48308889900599</v>
      </c>
      <c r="S1106" s="2">
        <f t="shared" si="125"/>
        <v>0.19494984904756249</v>
      </c>
    </row>
    <row r="1107" spans="1:19" x14ac:dyDescent="0.25">
      <c r="A1107" s="230"/>
      <c r="B1107" s="230"/>
      <c r="C1107" s="230"/>
      <c r="D1107" s="230"/>
      <c r="E1107" s="230"/>
      <c r="F1107" s="221"/>
      <c r="G1107" s="222"/>
      <c r="H1107" s="221"/>
      <c r="I1107" s="222"/>
      <c r="J1107" s="230"/>
      <c r="K1107" s="43"/>
      <c r="L1107" s="241"/>
      <c r="M1107" s="43" t="s">
        <v>1240</v>
      </c>
      <c r="N1107" s="1">
        <f>2*1000</f>
        <v>2000</v>
      </c>
      <c r="O1107" s="35">
        <v>103.334151179559</v>
      </c>
      <c r="P1107" s="35"/>
      <c r="Q1107" s="35"/>
      <c r="R1107" s="146">
        <f t="shared" si="124"/>
        <v>103.334151179559</v>
      </c>
      <c r="S1107" s="2">
        <f t="shared" si="125"/>
        <v>5.6159864771499458E-2</v>
      </c>
    </row>
    <row r="1108" spans="1:19" x14ac:dyDescent="0.25">
      <c r="A1108" s="230"/>
      <c r="B1108" s="230"/>
      <c r="C1108" s="230"/>
      <c r="D1108" s="230"/>
      <c r="E1108" s="230"/>
      <c r="F1108" s="221"/>
      <c r="G1108" s="222"/>
      <c r="H1108" s="221"/>
      <c r="I1108" s="222"/>
      <c r="J1108" s="230"/>
      <c r="K1108" s="43"/>
      <c r="L1108" s="241"/>
      <c r="M1108" s="43" t="s">
        <v>1168</v>
      </c>
      <c r="N1108" s="86">
        <f>2*400</f>
        <v>800</v>
      </c>
      <c r="O1108" s="35">
        <v>55.287061777598602</v>
      </c>
      <c r="P1108" s="35"/>
      <c r="Q1108" s="35"/>
      <c r="R1108" s="146">
        <f t="shared" si="124"/>
        <v>55.287061777598602</v>
      </c>
      <c r="S1108" s="2">
        <f t="shared" si="125"/>
        <v>7.5118290458693754E-2</v>
      </c>
    </row>
    <row r="1109" spans="1:19" x14ac:dyDescent="0.25">
      <c r="A1109" s="230"/>
      <c r="B1109" s="230"/>
      <c r="C1109" s="230"/>
      <c r="D1109" s="230"/>
      <c r="E1109" s="230"/>
      <c r="F1109" s="221"/>
      <c r="G1109" s="222"/>
      <c r="H1109" s="221"/>
      <c r="I1109" s="222"/>
      <c r="J1109" s="230"/>
      <c r="K1109" s="43"/>
      <c r="L1109" s="241"/>
      <c r="M1109" s="43" t="s">
        <v>1276</v>
      </c>
      <c r="N1109" s="14">
        <v>400</v>
      </c>
      <c r="O1109" s="35">
        <v>63.1852134601126</v>
      </c>
      <c r="P1109" s="35"/>
      <c r="Q1109" s="35"/>
      <c r="R1109" s="146">
        <f t="shared" si="124"/>
        <v>63.1852134601126</v>
      </c>
      <c r="S1109" s="2">
        <f t="shared" si="125"/>
        <v>0.1716989496198712</v>
      </c>
    </row>
    <row r="1110" spans="1:19" x14ac:dyDescent="0.25">
      <c r="A1110" s="230"/>
      <c r="B1110" s="230"/>
      <c r="C1110" s="230"/>
      <c r="D1110" s="230"/>
      <c r="E1110" s="230"/>
      <c r="F1110" s="221"/>
      <c r="G1110" s="222"/>
      <c r="H1110" s="221"/>
      <c r="I1110" s="222"/>
      <c r="J1110" s="230"/>
      <c r="K1110" s="43"/>
      <c r="L1110" s="241"/>
      <c r="M1110" s="43" t="s">
        <v>472</v>
      </c>
      <c r="N1110" s="3">
        <f>2*400</f>
        <v>800</v>
      </c>
      <c r="O1110" s="35">
        <v>144.141268205882</v>
      </c>
      <c r="P1110" s="35"/>
      <c r="Q1110" s="35"/>
      <c r="R1110" s="146">
        <f t="shared" si="124"/>
        <v>144.141268205882</v>
      </c>
      <c r="S1110" s="2">
        <f t="shared" si="125"/>
        <v>0.19584411441016575</v>
      </c>
    </row>
    <row r="1111" spans="1:19" ht="31.5" x14ac:dyDescent="0.25">
      <c r="A1111" s="230"/>
      <c r="B1111" s="230"/>
      <c r="C1111" s="230"/>
      <c r="D1111" s="230"/>
      <c r="E1111" s="230"/>
      <c r="F1111" s="221"/>
      <c r="G1111" s="222"/>
      <c r="H1111" s="221"/>
      <c r="I1111" s="222"/>
      <c r="J1111" s="230"/>
      <c r="K1111" s="43"/>
      <c r="L1111" s="241"/>
      <c r="M1111" s="43" t="s">
        <v>521</v>
      </c>
      <c r="N1111" s="14">
        <f>2*630</f>
        <v>1260</v>
      </c>
      <c r="O1111" s="35">
        <v>190.87199899409001</v>
      </c>
      <c r="P1111" s="35"/>
      <c r="Q1111" s="35"/>
      <c r="R1111" s="146">
        <f t="shared" si="124"/>
        <v>190.87199899409001</v>
      </c>
      <c r="S1111" s="2">
        <f t="shared" si="125"/>
        <v>0.16465838422540546</v>
      </c>
    </row>
    <row r="1112" spans="1:19" x14ac:dyDescent="0.25">
      <c r="A1112" s="230"/>
      <c r="B1112" s="230"/>
      <c r="C1112" s="230"/>
      <c r="D1112" s="230"/>
      <c r="E1112" s="230"/>
      <c r="F1112" s="221"/>
      <c r="G1112" s="222"/>
      <c r="H1112" s="221"/>
      <c r="I1112" s="222"/>
      <c r="J1112" s="230"/>
      <c r="K1112" s="43"/>
      <c r="L1112" s="241"/>
      <c r="M1112" s="43" t="s">
        <v>487</v>
      </c>
      <c r="N1112" s="3">
        <f t="shared" ref="N1112:N1115" si="131">2*400</f>
        <v>800</v>
      </c>
      <c r="O1112" s="35">
        <v>124.39588899959701</v>
      </c>
      <c r="P1112" s="35"/>
      <c r="Q1112" s="35"/>
      <c r="R1112" s="146">
        <f t="shared" si="124"/>
        <v>124.39588899959701</v>
      </c>
      <c r="S1112" s="2">
        <f t="shared" si="125"/>
        <v>0.16901615353206115</v>
      </c>
    </row>
    <row r="1113" spans="1:19" x14ac:dyDescent="0.25">
      <c r="A1113" s="230"/>
      <c r="B1113" s="230"/>
      <c r="C1113" s="230"/>
      <c r="D1113" s="230"/>
      <c r="E1113" s="230"/>
      <c r="F1113" s="221"/>
      <c r="G1113" s="222"/>
      <c r="H1113" s="221"/>
      <c r="I1113" s="222"/>
      <c r="J1113" s="230"/>
      <c r="K1113" s="43"/>
      <c r="L1113" s="241"/>
      <c r="M1113" s="43" t="s">
        <v>490</v>
      </c>
      <c r="N1113" s="3">
        <f t="shared" si="131"/>
        <v>800</v>
      </c>
      <c r="O1113" s="35">
        <v>63.1852134601126</v>
      </c>
      <c r="P1113" s="35"/>
      <c r="Q1113" s="35"/>
      <c r="R1113" s="146">
        <f t="shared" si="124"/>
        <v>63.1852134601126</v>
      </c>
      <c r="S1113" s="2">
        <f t="shared" si="125"/>
        <v>8.58494748099356E-2</v>
      </c>
    </row>
    <row r="1114" spans="1:19" x14ac:dyDescent="0.25">
      <c r="A1114" s="230"/>
      <c r="B1114" s="230"/>
      <c r="C1114" s="230"/>
      <c r="D1114" s="230"/>
      <c r="E1114" s="230"/>
      <c r="F1114" s="221"/>
      <c r="G1114" s="222"/>
      <c r="H1114" s="221"/>
      <c r="I1114" s="222"/>
      <c r="J1114" s="230"/>
      <c r="K1114" s="43"/>
      <c r="L1114" s="241"/>
      <c r="M1114" s="43" t="s">
        <v>454</v>
      </c>
      <c r="N1114" s="3">
        <f t="shared" si="131"/>
        <v>800</v>
      </c>
      <c r="O1114" s="35">
        <v>134.92675790961599</v>
      </c>
      <c r="P1114" s="35"/>
      <c r="Q1114" s="35"/>
      <c r="R1114" s="146">
        <f t="shared" si="124"/>
        <v>134.92675790961599</v>
      </c>
      <c r="S1114" s="2">
        <f t="shared" si="125"/>
        <v>0.18332439933371739</v>
      </c>
    </row>
    <row r="1115" spans="1:19" x14ac:dyDescent="0.25">
      <c r="A1115" s="230"/>
      <c r="B1115" s="230"/>
      <c r="C1115" s="230"/>
      <c r="D1115" s="230"/>
      <c r="E1115" s="230"/>
      <c r="F1115" s="221"/>
      <c r="G1115" s="222"/>
      <c r="H1115" s="221"/>
      <c r="I1115" s="222"/>
      <c r="J1115" s="230"/>
      <c r="K1115" s="43"/>
      <c r="L1115" s="241"/>
      <c r="M1115" s="43" t="s">
        <v>468</v>
      </c>
      <c r="N1115" s="3">
        <f t="shared" si="131"/>
        <v>800</v>
      </c>
      <c r="O1115" s="35">
        <v>8.5563309893902506</v>
      </c>
      <c r="P1115" s="35"/>
      <c r="Q1115" s="35"/>
      <c r="R1115" s="146">
        <f t="shared" si="124"/>
        <v>8.5563309893902506</v>
      </c>
      <c r="S1115" s="2">
        <f t="shared" si="125"/>
        <v>1.1625449713845449E-2</v>
      </c>
    </row>
    <row r="1116" spans="1:19" x14ac:dyDescent="0.25">
      <c r="A1116" s="230"/>
      <c r="B1116" s="230"/>
      <c r="C1116" s="230"/>
      <c r="D1116" s="230"/>
      <c r="E1116" s="230"/>
      <c r="F1116" s="221"/>
      <c r="G1116" s="222"/>
      <c r="H1116" s="221"/>
      <c r="I1116" s="222"/>
      <c r="J1116" s="230"/>
      <c r="K1116" s="43"/>
      <c r="L1116" s="241"/>
      <c r="M1116" s="43" t="s">
        <v>420</v>
      </c>
      <c r="N1116" s="3">
        <f>2*250</f>
        <v>500</v>
      </c>
      <c r="O1116" s="35">
        <v>84.246951280150199</v>
      </c>
      <c r="P1116" s="35"/>
      <c r="Q1116" s="35"/>
      <c r="R1116" s="146">
        <f t="shared" si="124"/>
        <v>84.246951280150199</v>
      </c>
      <c r="S1116" s="2">
        <f t="shared" si="125"/>
        <v>0.18314554626119608</v>
      </c>
    </row>
    <row r="1117" spans="1:19" x14ac:dyDescent="0.25">
      <c r="A1117" s="231"/>
      <c r="B1117" s="230"/>
      <c r="C1117" s="230"/>
      <c r="D1117" s="230"/>
      <c r="E1117" s="230"/>
      <c r="F1117" s="223"/>
      <c r="G1117" s="224"/>
      <c r="H1117" s="221"/>
      <c r="I1117" s="222"/>
      <c r="J1117" s="231"/>
      <c r="K1117" s="43"/>
      <c r="L1117" s="242"/>
      <c r="M1117" s="43" t="s">
        <v>422</v>
      </c>
      <c r="N1117" s="3">
        <f>2*400</f>
        <v>800</v>
      </c>
      <c r="O1117" s="35">
        <v>100.043254645178</v>
      </c>
      <c r="P1117" s="35"/>
      <c r="Q1117" s="35"/>
      <c r="R1117" s="146">
        <f t="shared" si="124"/>
        <v>100.043254645178</v>
      </c>
      <c r="S1117" s="2">
        <f t="shared" si="125"/>
        <v>0.13592833511573096</v>
      </c>
    </row>
    <row r="1118" spans="1:19" x14ac:dyDescent="0.25">
      <c r="A1118" s="229">
        <v>57</v>
      </c>
      <c r="B1118" s="230"/>
      <c r="C1118" s="230"/>
      <c r="D1118" s="230"/>
      <c r="E1118" s="230"/>
      <c r="F1118" s="219" t="s">
        <v>26</v>
      </c>
      <c r="G1118" s="220"/>
      <c r="H1118" s="221"/>
      <c r="I1118" s="222"/>
      <c r="J1118" s="229"/>
      <c r="K1118" s="43"/>
      <c r="L1118" s="240">
        <f>SUM(S1118:S1129)</f>
        <v>1.8427857925448621</v>
      </c>
      <c r="M1118" s="43" t="s">
        <v>421</v>
      </c>
      <c r="N1118" s="14">
        <f t="shared" ref="N1118:N1121" si="132">2*630</f>
        <v>1260</v>
      </c>
      <c r="O1118" s="35">
        <v>132.29404068211099</v>
      </c>
      <c r="P1118" s="35"/>
      <c r="Q1118" s="35"/>
      <c r="R1118" s="146">
        <f t="shared" si="124"/>
        <v>132.29404068211099</v>
      </c>
      <c r="S1118" s="2">
        <f t="shared" si="125"/>
        <v>0.11412529389416061</v>
      </c>
    </row>
    <row r="1119" spans="1:19" x14ac:dyDescent="0.25">
      <c r="A1119" s="230"/>
      <c r="B1119" s="230"/>
      <c r="C1119" s="230"/>
      <c r="D1119" s="230"/>
      <c r="E1119" s="230"/>
      <c r="F1119" s="221"/>
      <c r="G1119" s="222"/>
      <c r="H1119" s="221"/>
      <c r="I1119" s="222"/>
      <c r="J1119" s="230"/>
      <c r="K1119" s="43"/>
      <c r="L1119" s="241"/>
      <c r="M1119" s="43" t="s">
        <v>480</v>
      </c>
      <c r="N1119" s="14">
        <f t="shared" si="132"/>
        <v>1260</v>
      </c>
      <c r="O1119" s="35">
        <v>75.690620290759895</v>
      </c>
      <c r="P1119" s="35"/>
      <c r="Q1119" s="35"/>
      <c r="R1119" s="146">
        <f t="shared" si="124"/>
        <v>75.690620290759895</v>
      </c>
      <c r="S1119" s="2">
        <f t="shared" si="125"/>
        <v>6.5295566158350499E-2</v>
      </c>
    </row>
    <row r="1120" spans="1:19" x14ac:dyDescent="0.25">
      <c r="A1120" s="230"/>
      <c r="B1120" s="230"/>
      <c r="C1120" s="230"/>
      <c r="D1120" s="230"/>
      <c r="E1120" s="230"/>
      <c r="F1120" s="221"/>
      <c r="G1120" s="222"/>
      <c r="H1120" s="221"/>
      <c r="I1120" s="222"/>
      <c r="J1120" s="230"/>
      <c r="K1120" s="43"/>
      <c r="L1120" s="241"/>
      <c r="M1120" s="43" t="s">
        <v>496</v>
      </c>
      <c r="N1120" s="14">
        <f t="shared" si="132"/>
        <v>1260</v>
      </c>
      <c r="O1120" s="35">
        <v>96.094178803921295</v>
      </c>
      <c r="P1120" s="35"/>
      <c r="Q1120" s="35"/>
      <c r="R1120" s="146">
        <f t="shared" ref="R1120:R1183" si="133">O1120+P1120+Q1120</f>
        <v>96.094178803921295</v>
      </c>
      <c r="S1120" s="2">
        <f t="shared" si="125"/>
        <v>8.2896979644514576E-2</v>
      </c>
    </row>
    <row r="1121" spans="1:19" x14ac:dyDescent="0.25">
      <c r="A1121" s="230"/>
      <c r="B1121" s="230"/>
      <c r="C1121" s="230"/>
      <c r="D1121" s="230"/>
      <c r="E1121" s="230"/>
      <c r="F1121" s="221"/>
      <c r="G1121" s="222"/>
      <c r="H1121" s="221"/>
      <c r="I1121" s="222"/>
      <c r="J1121" s="230"/>
      <c r="K1121" s="43"/>
      <c r="L1121" s="241"/>
      <c r="M1121" s="43" t="s">
        <v>1277</v>
      </c>
      <c r="N1121" s="14">
        <f t="shared" si="132"/>
        <v>1260</v>
      </c>
      <c r="O1121" s="35">
        <v>14.4799447512758</v>
      </c>
      <c r="P1121" s="35"/>
      <c r="Q1121" s="35"/>
      <c r="R1121" s="146">
        <f t="shared" si="133"/>
        <v>14.4799447512758</v>
      </c>
      <c r="S1121" s="2">
        <f t="shared" si="125"/>
        <v>1.2491325699858351E-2</v>
      </c>
    </row>
    <row r="1122" spans="1:19" x14ac:dyDescent="0.25">
      <c r="A1122" s="230"/>
      <c r="B1122" s="230"/>
      <c r="C1122" s="230"/>
      <c r="D1122" s="230"/>
      <c r="E1122" s="230"/>
      <c r="F1122" s="221"/>
      <c r="G1122" s="222"/>
      <c r="H1122" s="221"/>
      <c r="I1122" s="222"/>
      <c r="J1122" s="230"/>
      <c r="K1122" s="43"/>
      <c r="L1122" s="241"/>
      <c r="M1122" s="43" t="s">
        <v>1278</v>
      </c>
      <c r="N1122" s="14">
        <v>250</v>
      </c>
      <c r="O1122" s="35">
        <v>44.756192867579799</v>
      </c>
      <c r="P1122" s="35"/>
      <c r="Q1122" s="35"/>
      <c r="R1122" s="146">
        <f t="shared" si="133"/>
        <v>44.756192867579799</v>
      </c>
      <c r="S1122" s="2">
        <f t="shared" si="125"/>
        <v>0.19459214290252086</v>
      </c>
    </row>
    <row r="1123" spans="1:19" x14ac:dyDescent="0.25">
      <c r="A1123" s="230"/>
      <c r="B1123" s="230"/>
      <c r="C1123" s="230"/>
      <c r="D1123" s="230"/>
      <c r="E1123" s="230"/>
      <c r="F1123" s="221"/>
      <c r="G1123" s="222"/>
      <c r="H1123" s="221"/>
      <c r="I1123" s="222"/>
      <c r="J1123" s="230"/>
      <c r="K1123" s="43"/>
      <c r="L1123" s="241"/>
      <c r="M1123" s="43" t="s">
        <v>1279</v>
      </c>
      <c r="N1123" s="14">
        <v>800</v>
      </c>
      <c r="O1123" s="35">
        <v>100.701433952055</v>
      </c>
      <c r="P1123" s="35"/>
      <c r="Q1123" s="35"/>
      <c r="R1123" s="146">
        <f t="shared" si="133"/>
        <v>100.701433952055</v>
      </c>
      <c r="S1123" s="2">
        <f t="shared" ref="S1123:S1174" si="134">R1123/(N1123*0.92)</f>
        <v>0.13682260047833558</v>
      </c>
    </row>
    <row r="1124" spans="1:19" x14ac:dyDescent="0.25">
      <c r="A1124" s="230"/>
      <c r="B1124" s="230"/>
      <c r="C1124" s="230"/>
      <c r="D1124" s="230"/>
      <c r="E1124" s="230"/>
      <c r="F1124" s="221"/>
      <c r="G1124" s="222"/>
      <c r="H1124" s="221"/>
      <c r="I1124" s="222"/>
      <c r="J1124" s="230"/>
      <c r="K1124" s="43"/>
      <c r="L1124" s="241"/>
      <c r="M1124" s="43" t="s">
        <v>1280</v>
      </c>
      <c r="N1124" s="14">
        <v>250</v>
      </c>
      <c r="O1124" s="35">
        <v>34.883503264437202</v>
      </c>
      <c r="P1124" s="35"/>
      <c r="Q1124" s="35"/>
      <c r="R1124" s="146">
        <f t="shared" si="133"/>
        <v>34.883503264437202</v>
      </c>
      <c r="S1124" s="2">
        <f t="shared" si="134"/>
        <v>0.15166740549755306</v>
      </c>
    </row>
    <row r="1125" spans="1:19" x14ac:dyDescent="0.25">
      <c r="A1125" s="230"/>
      <c r="B1125" s="230"/>
      <c r="C1125" s="230"/>
      <c r="D1125" s="230"/>
      <c r="E1125" s="230"/>
      <c r="F1125" s="221"/>
      <c r="G1125" s="222"/>
      <c r="H1125" s="221"/>
      <c r="I1125" s="222"/>
      <c r="J1125" s="230"/>
      <c r="K1125" s="43"/>
      <c r="L1125" s="241"/>
      <c r="M1125" s="43" t="s">
        <v>1281</v>
      </c>
      <c r="N1125" s="14">
        <v>400</v>
      </c>
      <c r="O1125" s="35">
        <v>37.516220491941901</v>
      </c>
      <c r="P1125" s="35"/>
      <c r="Q1125" s="35">
        <f>11</f>
        <v>11</v>
      </c>
      <c r="R1125" s="146">
        <f t="shared" si="133"/>
        <v>48.516220491941901</v>
      </c>
      <c r="S1125" s="2">
        <f t="shared" si="134"/>
        <v>0.13183755568462474</v>
      </c>
    </row>
    <row r="1126" spans="1:19" x14ac:dyDescent="0.25">
      <c r="A1126" s="230"/>
      <c r="B1126" s="230"/>
      <c r="C1126" s="230"/>
      <c r="D1126" s="230"/>
      <c r="E1126" s="230"/>
      <c r="F1126" s="221"/>
      <c r="G1126" s="222"/>
      <c r="H1126" s="221"/>
      <c r="I1126" s="222"/>
      <c r="J1126" s="230"/>
      <c r="K1126" s="43"/>
      <c r="L1126" s="241"/>
      <c r="M1126" s="43" t="s">
        <v>1282</v>
      </c>
      <c r="N1126" s="14">
        <v>250</v>
      </c>
      <c r="O1126" s="35">
        <v>94.119640883292803</v>
      </c>
      <c r="P1126" s="35"/>
      <c r="Q1126" s="35"/>
      <c r="R1126" s="146">
        <f t="shared" si="133"/>
        <v>94.119640883292803</v>
      </c>
      <c r="S1126" s="2">
        <f t="shared" si="134"/>
        <v>0.40921582992736</v>
      </c>
    </row>
    <row r="1127" spans="1:19" x14ac:dyDescent="0.25">
      <c r="A1127" s="230"/>
      <c r="B1127" s="230"/>
      <c r="C1127" s="230"/>
      <c r="D1127" s="230"/>
      <c r="E1127" s="230"/>
      <c r="F1127" s="221"/>
      <c r="G1127" s="222"/>
      <c r="H1127" s="221"/>
      <c r="I1127" s="222"/>
      <c r="J1127" s="230"/>
      <c r="K1127" s="43"/>
      <c r="L1127" s="241"/>
      <c r="M1127" s="43" t="s">
        <v>465</v>
      </c>
      <c r="N1127" s="3">
        <f t="shared" ref="N1127:N1128" si="135">2*400</f>
        <v>800</v>
      </c>
      <c r="O1127" s="35">
        <v>128.344964840854</v>
      </c>
      <c r="P1127" s="35"/>
      <c r="Q1127" s="35"/>
      <c r="R1127" s="146">
        <f t="shared" si="133"/>
        <v>128.344964840854</v>
      </c>
      <c r="S1127" s="2">
        <f t="shared" si="134"/>
        <v>0.17438174570768208</v>
      </c>
    </row>
    <row r="1128" spans="1:19" x14ac:dyDescent="0.25">
      <c r="A1128" s="230"/>
      <c r="B1128" s="230"/>
      <c r="C1128" s="230"/>
      <c r="D1128" s="230"/>
      <c r="E1128" s="230"/>
      <c r="F1128" s="221"/>
      <c r="G1128" s="222"/>
      <c r="H1128" s="221"/>
      <c r="I1128" s="222"/>
      <c r="J1128" s="230"/>
      <c r="K1128" s="43"/>
      <c r="L1128" s="241"/>
      <c r="M1128" s="43" t="s">
        <v>437</v>
      </c>
      <c r="N1128" s="3">
        <f t="shared" si="135"/>
        <v>800</v>
      </c>
      <c r="O1128" s="35">
        <v>181.65748869782399</v>
      </c>
      <c r="P1128" s="35"/>
      <c r="Q1128" s="35"/>
      <c r="R1128" s="146">
        <f t="shared" si="133"/>
        <v>181.65748869782399</v>
      </c>
      <c r="S1128" s="2">
        <f t="shared" si="134"/>
        <v>0.2468172400785652</v>
      </c>
    </row>
    <row r="1129" spans="1:19" x14ac:dyDescent="0.25">
      <c r="A1129" s="231"/>
      <c r="B1129" s="230"/>
      <c r="C1129" s="230"/>
      <c r="D1129" s="230"/>
      <c r="E1129" s="230"/>
      <c r="F1129" s="223"/>
      <c r="G1129" s="224"/>
      <c r="H1129" s="221"/>
      <c r="I1129" s="222"/>
      <c r="J1129" s="231"/>
      <c r="K1129" s="43"/>
      <c r="L1129" s="242"/>
      <c r="M1129" s="43" t="s">
        <v>423</v>
      </c>
      <c r="N1129" s="14">
        <f>2*630</f>
        <v>1260</v>
      </c>
      <c r="O1129" s="35">
        <v>142.16673028525301</v>
      </c>
      <c r="P1129" s="35"/>
      <c r="Q1129" s="35"/>
      <c r="R1129" s="146">
        <f t="shared" si="133"/>
        <v>142.16673028525301</v>
      </c>
      <c r="S1129" s="2">
        <f t="shared" si="134"/>
        <v>0.12264210687133627</v>
      </c>
    </row>
    <row r="1130" spans="1:19" x14ac:dyDescent="0.25">
      <c r="A1130" s="272">
        <v>58</v>
      </c>
      <c r="B1130" s="230"/>
      <c r="C1130" s="230"/>
      <c r="D1130" s="230"/>
      <c r="E1130" s="230"/>
      <c r="F1130" s="219" t="s">
        <v>27</v>
      </c>
      <c r="G1130" s="220"/>
      <c r="H1130" s="221"/>
      <c r="I1130" s="222"/>
      <c r="J1130" s="229"/>
      <c r="K1130" s="43"/>
      <c r="L1130" s="240">
        <f>SUM(S1130:S1139)</f>
        <v>1.7900062774447041</v>
      </c>
      <c r="M1130" s="43" t="s">
        <v>439</v>
      </c>
      <c r="N1130" s="160">
        <f>2*160</f>
        <v>320</v>
      </c>
      <c r="O1130" s="35">
        <v>50.679806629465297</v>
      </c>
      <c r="P1130" s="35"/>
      <c r="Q1130" s="35"/>
      <c r="R1130" s="146">
        <f t="shared" si="133"/>
        <v>50.679806629465297</v>
      </c>
      <c r="S1130" s="2">
        <f t="shared" si="134"/>
        <v>0.17214608230117287</v>
      </c>
    </row>
    <row r="1131" spans="1:19" x14ac:dyDescent="0.25">
      <c r="A1131" s="273"/>
      <c r="B1131" s="230"/>
      <c r="C1131" s="230"/>
      <c r="D1131" s="230"/>
      <c r="E1131" s="230"/>
      <c r="F1131" s="221"/>
      <c r="G1131" s="222"/>
      <c r="H1131" s="221"/>
      <c r="I1131" s="222"/>
      <c r="J1131" s="230"/>
      <c r="K1131" s="43"/>
      <c r="L1131" s="241"/>
      <c r="M1131" s="43" t="s">
        <v>473</v>
      </c>
      <c r="N1131" s="14">
        <f>2*630</f>
        <v>1260</v>
      </c>
      <c r="O1131" s="35">
        <v>159.93757157090999</v>
      </c>
      <c r="P1131" s="35"/>
      <c r="Q1131" s="35"/>
      <c r="R1131" s="146">
        <f t="shared" si="133"/>
        <v>159.93757157090999</v>
      </c>
      <c r="S1131" s="2">
        <f t="shared" si="134"/>
        <v>0.1379723702302536</v>
      </c>
    </row>
    <row r="1132" spans="1:19" x14ac:dyDescent="0.25">
      <c r="A1132" s="273"/>
      <c r="B1132" s="230"/>
      <c r="C1132" s="230"/>
      <c r="D1132" s="230"/>
      <c r="E1132" s="230"/>
      <c r="F1132" s="221"/>
      <c r="G1132" s="222"/>
      <c r="H1132" s="221"/>
      <c r="I1132" s="222"/>
      <c r="J1132" s="230"/>
      <c r="K1132" s="43"/>
      <c r="L1132" s="241"/>
      <c r="M1132" s="43" t="s">
        <v>449</v>
      </c>
      <c r="N1132" s="3">
        <f>2*250</f>
        <v>500</v>
      </c>
      <c r="O1132" s="35">
        <v>31.5926067300563</v>
      </c>
      <c r="P1132" s="35"/>
      <c r="Q1132" s="35"/>
      <c r="R1132" s="146">
        <f t="shared" si="133"/>
        <v>31.5926067300563</v>
      </c>
      <c r="S1132" s="2">
        <f t="shared" si="134"/>
        <v>6.867957984794848E-2</v>
      </c>
    </row>
    <row r="1133" spans="1:19" x14ac:dyDescent="0.25">
      <c r="A1133" s="273"/>
      <c r="B1133" s="230"/>
      <c r="C1133" s="230"/>
      <c r="D1133" s="230"/>
      <c r="E1133" s="230"/>
      <c r="F1133" s="221"/>
      <c r="G1133" s="222"/>
      <c r="H1133" s="221"/>
      <c r="I1133" s="222"/>
      <c r="J1133" s="230"/>
      <c r="K1133" s="43"/>
      <c r="L1133" s="241"/>
      <c r="M1133" s="43" t="s">
        <v>1283</v>
      </c>
      <c r="N1133" s="1">
        <f>2*630</f>
        <v>1260</v>
      </c>
      <c r="O1133" s="35">
        <v>116.49773731708299</v>
      </c>
      <c r="P1133" s="35"/>
      <c r="Q1133" s="35"/>
      <c r="R1133" s="146">
        <f t="shared" si="133"/>
        <v>116.49773731708299</v>
      </c>
      <c r="S1133" s="2">
        <f t="shared" si="134"/>
        <v>0.1004983931306789</v>
      </c>
    </row>
    <row r="1134" spans="1:19" x14ac:dyDescent="0.25">
      <c r="A1134" s="273"/>
      <c r="B1134" s="230"/>
      <c r="C1134" s="230"/>
      <c r="D1134" s="230"/>
      <c r="E1134" s="230"/>
      <c r="F1134" s="221"/>
      <c r="G1134" s="222"/>
      <c r="H1134" s="221"/>
      <c r="I1134" s="222"/>
      <c r="J1134" s="230"/>
      <c r="K1134" s="43"/>
      <c r="L1134" s="241"/>
      <c r="M1134" s="43" t="s">
        <v>1284</v>
      </c>
      <c r="N1134" s="14">
        <v>160</v>
      </c>
      <c r="O1134" s="35">
        <v>13.821765444399601</v>
      </c>
      <c r="P1134" s="35"/>
      <c r="Q1134" s="35"/>
      <c r="R1134" s="146">
        <f t="shared" si="133"/>
        <v>13.821765444399601</v>
      </c>
      <c r="S1134" s="2">
        <f t="shared" si="134"/>
        <v>9.3897863073366838E-2</v>
      </c>
    </row>
    <row r="1135" spans="1:19" x14ac:dyDescent="0.25">
      <c r="A1135" s="273"/>
      <c r="B1135" s="230"/>
      <c r="C1135" s="230"/>
      <c r="D1135" s="230"/>
      <c r="E1135" s="230"/>
      <c r="F1135" s="221"/>
      <c r="G1135" s="222"/>
      <c r="H1135" s="221"/>
      <c r="I1135" s="222"/>
      <c r="J1135" s="230"/>
      <c r="K1135" s="43"/>
      <c r="L1135" s="241"/>
      <c r="M1135" s="43" t="s">
        <v>1285</v>
      </c>
      <c r="N1135" s="14">
        <f>2*160</f>
        <v>320</v>
      </c>
      <c r="O1135" s="35">
        <v>29.6180688094278</v>
      </c>
      <c r="P1135" s="35"/>
      <c r="Q1135" s="35">
        <f>2+1+11</f>
        <v>14</v>
      </c>
      <c r="R1135" s="146">
        <f t="shared" si="133"/>
        <v>43.618068809427797</v>
      </c>
      <c r="S1135" s="2">
        <f t="shared" si="134"/>
        <v>0.14815920111898026</v>
      </c>
    </row>
    <row r="1136" spans="1:19" x14ac:dyDescent="0.25">
      <c r="A1136" s="273"/>
      <c r="B1136" s="230"/>
      <c r="C1136" s="230"/>
      <c r="D1136" s="230"/>
      <c r="E1136" s="230"/>
      <c r="F1136" s="221"/>
      <c r="G1136" s="222"/>
      <c r="H1136" s="221"/>
      <c r="I1136" s="222"/>
      <c r="J1136" s="230"/>
      <c r="K1136" s="43"/>
      <c r="L1136" s="241"/>
      <c r="M1136" s="43" t="s">
        <v>1286</v>
      </c>
      <c r="N1136" s="14">
        <v>160</v>
      </c>
      <c r="O1136" s="35">
        <v>48.047089401960598</v>
      </c>
      <c r="P1136" s="35"/>
      <c r="Q1136" s="35">
        <f>10</f>
        <v>10</v>
      </c>
      <c r="R1136" s="146">
        <f t="shared" si="133"/>
        <v>58.047089401960598</v>
      </c>
      <c r="S1136" s="2">
        <f t="shared" si="134"/>
        <v>0.39434163995897142</v>
      </c>
    </row>
    <row r="1137" spans="1:19" x14ac:dyDescent="0.25">
      <c r="A1137" s="273"/>
      <c r="B1137" s="230"/>
      <c r="C1137" s="230"/>
      <c r="D1137" s="230"/>
      <c r="E1137" s="230"/>
      <c r="F1137" s="221"/>
      <c r="G1137" s="222"/>
      <c r="H1137" s="221"/>
      <c r="I1137" s="222"/>
      <c r="J1137" s="230"/>
      <c r="K1137" s="43"/>
      <c r="L1137" s="241"/>
      <c r="M1137" s="43" t="s">
        <v>1287</v>
      </c>
      <c r="N1137" s="14">
        <v>160</v>
      </c>
      <c r="O1137" s="35">
        <v>44.098013560703599</v>
      </c>
      <c r="P1137" s="35"/>
      <c r="Q1137" s="35">
        <f>11</f>
        <v>11</v>
      </c>
      <c r="R1137" s="146">
        <f t="shared" si="133"/>
        <v>55.098013560703599</v>
      </c>
      <c r="S1137" s="2">
        <f t="shared" si="134"/>
        <v>0.37430715734173636</v>
      </c>
    </row>
    <row r="1138" spans="1:19" x14ac:dyDescent="0.25">
      <c r="A1138" s="273"/>
      <c r="B1138" s="230"/>
      <c r="C1138" s="230"/>
      <c r="D1138" s="230"/>
      <c r="E1138" s="230"/>
      <c r="F1138" s="221"/>
      <c r="G1138" s="222"/>
      <c r="H1138" s="221"/>
      <c r="I1138" s="222"/>
      <c r="J1138" s="230"/>
      <c r="K1138" s="43"/>
      <c r="L1138" s="241"/>
      <c r="M1138" s="43" t="s">
        <v>1288</v>
      </c>
      <c r="N1138" s="14">
        <f>2*160</f>
        <v>320</v>
      </c>
      <c r="O1138" s="35">
        <v>70.425185835750497</v>
      </c>
      <c r="P1138" s="35"/>
      <c r="Q1138" s="35">
        <f>15</f>
        <v>15</v>
      </c>
      <c r="R1138" s="146">
        <f t="shared" si="133"/>
        <v>85.425185835750497</v>
      </c>
      <c r="S1138" s="2">
        <f t="shared" si="134"/>
        <v>0.29016707145295684</v>
      </c>
    </row>
    <row r="1139" spans="1:19" x14ac:dyDescent="0.25">
      <c r="A1139" s="273"/>
      <c r="B1139" s="230"/>
      <c r="C1139" s="230"/>
      <c r="D1139" s="230"/>
      <c r="E1139" s="230"/>
      <c r="F1139" s="223"/>
      <c r="G1139" s="224"/>
      <c r="H1139" s="221"/>
      <c r="I1139" s="222"/>
      <c r="J1139" s="231"/>
      <c r="K1139" s="43"/>
      <c r="L1139" s="242"/>
      <c r="M1139" s="43" t="s">
        <v>436</v>
      </c>
      <c r="N1139" s="3">
        <f>2*400</f>
        <v>800</v>
      </c>
      <c r="O1139" s="35">
        <v>7.23997237563791</v>
      </c>
      <c r="P1139" s="35"/>
      <c r="Q1139" s="35"/>
      <c r="R1139" s="146">
        <f t="shared" si="133"/>
        <v>7.23997237563791</v>
      </c>
      <c r="S1139" s="2">
        <f t="shared" si="134"/>
        <v>9.8369189886384645E-3</v>
      </c>
    </row>
    <row r="1140" spans="1:19" x14ac:dyDescent="0.25">
      <c r="A1140" s="228">
        <v>59</v>
      </c>
      <c r="B1140" s="230"/>
      <c r="C1140" s="230"/>
      <c r="D1140" s="230"/>
      <c r="E1140" s="230"/>
      <c r="F1140" s="219" t="s">
        <v>28</v>
      </c>
      <c r="G1140" s="220"/>
      <c r="H1140" s="221"/>
      <c r="I1140" s="222"/>
      <c r="J1140" s="229"/>
      <c r="K1140" s="43"/>
      <c r="L1140" s="240">
        <f>SUM(S1140:S1146)</f>
        <v>1.1003500440922744</v>
      </c>
      <c r="M1140" s="43" t="s">
        <v>462</v>
      </c>
      <c r="N1140" s="14">
        <f>2*630</f>
        <v>1260</v>
      </c>
      <c r="O1140" s="35">
        <v>148.09034404713901</v>
      </c>
      <c r="P1140" s="35"/>
      <c r="Q1140" s="35"/>
      <c r="R1140" s="146">
        <f t="shared" si="133"/>
        <v>148.09034404713901</v>
      </c>
      <c r="S1140" s="2">
        <f t="shared" si="134"/>
        <v>0.12775219465764234</v>
      </c>
    </row>
    <row r="1141" spans="1:19" x14ac:dyDescent="0.25">
      <c r="A1141" s="228"/>
      <c r="B1141" s="230"/>
      <c r="C1141" s="230"/>
      <c r="D1141" s="230"/>
      <c r="E1141" s="230"/>
      <c r="F1141" s="221"/>
      <c r="G1141" s="222"/>
      <c r="H1141" s="221"/>
      <c r="I1141" s="222"/>
      <c r="J1141" s="230"/>
      <c r="K1141" s="43"/>
      <c r="L1141" s="241"/>
      <c r="M1141" s="43" t="s">
        <v>1254</v>
      </c>
      <c r="N1141" s="14">
        <f>2*250</f>
        <v>500</v>
      </c>
      <c r="O1141" s="35">
        <v>75.690620290759895</v>
      </c>
      <c r="P1141" s="35"/>
      <c r="Q1141" s="35">
        <f>25+15+15</f>
        <v>55</v>
      </c>
      <c r="R1141" s="146">
        <f t="shared" si="133"/>
        <v>130.69062029075991</v>
      </c>
      <c r="S1141" s="2">
        <f t="shared" si="134"/>
        <v>0.28411004411034763</v>
      </c>
    </row>
    <row r="1142" spans="1:19" x14ac:dyDescent="0.25">
      <c r="A1142" s="228"/>
      <c r="B1142" s="230"/>
      <c r="C1142" s="230"/>
      <c r="D1142" s="230"/>
      <c r="E1142" s="230"/>
      <c r="F1142" s="221"/>
      <c r="G1142" s="222"/>
      <c r="H1142" s="221"/>
      <c r="I1142" s="222"/>
      <c r="J1142" s="230"/>
      <c r="K1142" s="43"/>
      <c r="L1142" s="241"/>
      <c r="M1142" s="43" t="s">
        <v>1289</v>
      </c>
      <c r="N1142" s="14">
        <v>400</v>
      </c>
      <c r="O1142" s="35">
        <v>62.527034153236499</v>
      </c>
      <c r="P1142" s="35"/>
      <c r="Q1142" s="35"/>
      <c r="R1142" s="146">
        <f t="shared" si="133"/>
        <v>62.527034153236499</v>
      </c>
      <c r="S1142" s="2">
        <f t="shared" si="134"/>
        <v>0.16991041889466441</v>
      </c>
    </row>
    <row r="1143" spans="1:19" x14ac:dyDescent="0.25">
      <c r="A1143" s="228"/>
      <c r="B1143" s="230"/>
      <c r="C1143" s="230"/>
      <c r="D1143" s="230"/>
      <c r="E1143" s="230"/>
      <c r="F1143" s="221"/>
      <c r="G1143" s="222"/>
      <c r="H1143" s="221"/>
      <c r="I1143" s="222"/>
      <c r="J1143" s="230"/>
      <c r="K1143" s="43"/>
      <c r="L1143" s="241"/>
      <c r="M1143" s="43" t="s">
        <v>1256</v>
      </c>
      <c r="N1143" s="86">
        <f>2*400</f>
        <v>800</v>
      </c>
      <c r="O1143" s="35">
        <v>59.8943169257318</v>
      </c>
      <c r="P1143" s="35"/>
      <c r="Q1143" s="35"/>
      <c r="R1143" s="146">
        <f t="shared" si="133"/>
        <v>59.8943169257318</v>
      </c>
      <c r="S1143" s="2">
        <f t="shared" si="134"/>
        <v>8.1378147996918213E-2</v>
      </c>
    </row>
    <row r="1144" spans="1:19" x14ac:dyDescent="0.25">
      <c r="A1144" s="228"/>
      <c r="B1144" s="230"/>
      <c r="C1144" s="230"/>
      <c r="D1144" s="230"/>
      <c r="E1144" s="230"/>
      <c r="F1144" s="221"/>
      <c r="G1144" s="222"/>
      <c r="H1144" s="221"/>
      <c r="I1144" s="222"/>
      <c r="J1144" s="230"/>
      <c r="K1144" s="43"/>
      <c r="L1144" s="241"/>
      <c r="M1144" s="43" t="s">
        <v>507</v>
      </c>
      <c r="N1144" s="160">
        <f>2*1000</f>
        <v>2000</v>
      </c>
      <c r="O1144" s="35">
        <v>247.475419385441</v>
      </c>
      <c r="P1144" s="35"/>
      <c r="Q1144" s="35"/>
      <c r="R1144" s="146">
        <f t="shared" si="133"/>
        <v>247.475419385441</v>
      </c>
      <c r="S1144" s="2">
        <f t="shared" si="134"/>
        <v>0.13449751053556577</v>
      </c>
    </row>
    <row r="1145" spans="1:19" x14ac:dyDescent="0.25">
      <c r="A1145" s="228"/>
      <c r="B1145" s="230"/>
      <c r="C1145" s="230"/>
      <c r="D1145" s="230"/>
      <c r="E1145" s="230"/>
      <c r="F1145" s="221"/>
      <c r="G1145" s="222"/>
      <c r="H1145" s="221"/>
      <c r="I1145" s="222"/>
      <c r="J1145" s="230"/>
      <c r="K1145" s="43"/>
      <c r="L1145" s="241"/>
      <c r="M1145" s="43" t="s">
        <v>506</v>
      </c>
      <c r="N1145" s="14">
        <f>2*630</f>
        <v>1260</v>
      </c>
      <c r="O1145" s="35">
        <v>148.74852335401499</v>
      </c>
      <c r="P1145" s="35"/>
      <c r="Q1145" s="35"/>
      <c r="R1145" s="146">
        <f t="shared" si="133"/>
        <v>148.74852335401499</v>
      </c>
      <c r="S1145" s="2">
        <f t="shared" si="134"/>
        <v>0.12831998218945392</v>
      </c>
    </row>
    <row r="1146" spans="1:19" x14ac:dyDescent="0.25">
      <c r="A1146" s="228"/>
      <c r="B1146" s="230"/>
      <c r="C1146" s="230"/>
      <c r="D1146" s="230"/>
      <c r="E1146" s="230"/>
      <c r="F1146" s="223"/>
      <c r="G1146" s="224"/>
      <c r="H1146" s="221"/>
      <c r="I1146" s="222"/>
      <c r="J1146" s="231"/>
      <c r="K1146" s="43"/>
      <c r="L1146" s="242"/>
      <c r="M1146" s="43" t="s">
        <v>501</v>
      </c>
      <c r="N1146" s="3">
        <f>2*400</f>
        <v>800</v>
      </c>
      <c r="O1146" s="35">
        <v>128.344964840854</v>
      </c>
      <c r="P1146" s="35"/>
      <c r="Q1146" s="35"/>
      <c r="R1146" s="146">
        <f t="shared" si="133"/>
        <v>128.344964840854</v>
      </c>
      <c r="S1146" s="2">
        <f t="shared" si="134"/>
        <v>0.17438174570768208</v>
      </c>
    </row>
    <row r="1147" spans="1:19" x14ac:dyDescent="0.25">
      <c r="A1147" s="272">
        <f>A1140+1</f>
        <v>60</v>
      </c>
      <c r="B1147" s="230"/>
      <c r="C1147" s="230"/>
      <c r="D1147" s="230"/>
      <c r="E1147" s="230"/>
      <c r="F1147" s="219" t="s">
        <v>29</v>
      </c>
      <c r="G1147" s="220"/>
      <c r="H1147" s="221"/>
      <c r="I1147" s="222"/>
      <c r="J1147" s="229"/>
      <c r="K1147" s="43"/>
      <c r="L1147" s="240">
        <f>SUM(S1147:S1178)</f>
        <v>20.87706946699948</v>
      </c>
      <c r="M1147" s="43" t="s">
        <v>1290</v>
      </c>
      <c r="N1147" s="14">
        <v>400</v>
      </c>
      <c r="O1147" s="35">
        <v>10.5308689100188</v>
      </c>
      <c r="P1147" s="35"/>
      <c r="Q1147" s="35"/>
      <c r="R1147" s="146">
        <f t="shared" si="133"/>
        <v>10.5308689100188</v>
      </c>
      <c r="S1147" s="2">
        <f t="shared" si="134"/>
        <v>2.8616491603311957E-2</v>
      </c>
    </row>
    <row r="1148" spans="1:19" x14ac:dyDescent="0.25">
      <c r="A1148" s="273"/>
      <c r="B1148" s="230"/>
      <c r="C1148" s="230"/>
      <c r="D1148" s="230"/>
      <c r="E1148" s="230"/>
      <c r="F1148" s="221"/>
      <c r="G1148" s="222"/>
      <c r="H1148" s="221"/>
      <c r="I1148" s="222"/>
      <c r="J1148" s="230"/>
      <c r="K1148" s="43"/>
      <c r="L1148" s="241"/>
      <c r="M1148" s="43" t="s">
        <v>1291</v>
      </c>
      <c r="N1148" s="14">
        <v>250</v>
      </c>
      <c r="O1148" s="35">
        <v>327.11511551745798</v>
      </c>
      <c r="P1148" s="35"/>
      <c r="Q1148" s="35">
        <f>10+5+2+20+8</f>
        <v>45</v>
      </c>
      <c r="R1148" s="146">
        <f t="shared" si="133"/>
        <v>372.11511551745798</v>
      </c>
      <c r="S1148" s="2">
        <f t="shared" si="134"/>
        <v>1.6178918065976433</v>
      </c>
    </row>
    <row r="1149" spans="1:19" x14ac:dyDescent="0.25">
      <c r="A1149" s="273"/>
      <c r="B1149" s="230"/>
      <c r="C1149" s="230"/>
      <c r="D1149" s="230"/>
      <c r="E1149" s="230"/>
      <c r="F1149" s="221"/>
      <c r="G1149" s="222"/>
      <c r="H1149" s="221"/>
      <c r="I1149" s="222"/>
      <c r="J1149" s="230"/>
      <c r="K1149" s="43"/>
      <c r="L1149" s="241"/>
      <c r="M1149" s="43" t="s">
        <v>1292</v>
      </c>
      <c r="N1149" s="14">
        <v>250</v>
      </c>
      <c r="O1149" s="35">
        <v>175.07569562906201</v>
      </c>
      <c r="P1149" s="35"/>
      <c r="Q1149" s="35">
        <f>7+5+50</f>
        <v>62</v>
      </c>
      <c r="R1149" s="146">
        <f t="shared" si="133"/>
        <v>237.07569562906201</v>
      </c>
      <c r="S1149" s="2">
        <f t="shared" si="134"/>
        <v>1.0307638940393999</v>
      </c>
    </row>
    <row r="1150" spans="1:19" x14ac:dyDescent="0.25">
      <c r="A1150" s="273"/>
      <c r="B1150" s="230"/>
      <c r="C1150" s="230"/>
      <c r="D1150" s="230"/>
      <c r="E1150" s="230"/>
      <c r="F1150" s="221"/>
      <c r="G1150" s="222"/>
      <c r="H1150" s="221"/>
      <c r="I1150" s="222"/>
      <c r="J1150" s="230"/>
      <c r="K1150" s="43"/>
      <c r="L1150" s="241"/>
      <c r="M1150" s="43" t="s">
        <v>1293</v>
      </c>
      <c r="N1150" s="14">
        <v>400</v>
      </c>
      <c r="O1150" s="35">
        <v>276.43530888799302</v>
      </c>
      <c r="P1150" s="35"/>
      <c r="Q1150" s="35">
        <f>11+2+15+11</f>
        <v>39</v>
      </c>
      <c r="R1150" s="146">
        <f t="shared" si="133"/>
        <v>315.43530888799302</v>
      </c>
      <c r="S1150" s="2">
        <f t="shared" si="134"/>
        <v>0.85716116545650278</v>
      </c>
    </row>
    <row r="1151" spans="1:19" x14ac:dyDescent="0.25">
      <c r="A1151" s="273"/>
      <c r="B1151" s="230"/>
      <c r="C1151" s="230"/>
      <c r="D1151" s="230"/>
      <c r="E1151" s="230"/>
      <c r="F1151" s="221"/>
      <c r="G1151" s="222"/>
      <c r="H1151" s="221"/>
      <c r="I1151" s="222"/>
      <c r="J1151" s="230"/>
      <c r="K1151" s="43"/>
      <c r="L1151" s="241"/>
      <c r="M1151" s="43" t="s">
        <v>1294</v>
      </c>
      <c r="N1151" s="14">
        <v>250</v>
      </c>
      <c r="O1151" s="35">
        <v>243.52634354418399</v>
      </c>
      <c r="P1151" s="35"/>
      <c r="Q1151" s="35">
        <f>1+3+5+11+3+5+7+2+5+20+15</f>
        <v>77</v>
      </c>
      <c r="R1151" s="146">
        <f t="shared" si="133"/>
        <v>320.52634354418399</v>
      </c>
      <c r="S1151" s="2">
        <f t="shared" si="134"/>
        <v>1.3935927980181912</v>
      </c>
    </row>
    <row r="1152" spans="1:19" x14ac:dyDescent="0.25">
      <c r="A1152" s="273"/>
      <c r="B1152" s="230"/>
      <c r="C1152" s="230"/>
      <c r="D1152" s="230"/>
      <c r="E1152" s="230"/>
      <c r="F1152" s="221"/>
      <c r="G1152" s="222"/>
      <c r="H1152" s="221"/>
      <c r="I1152" s="222"/>
      <c r="J1152" s="230"/>
      <c r="K1152" s="43"/>
      <c r="L1152" s="241"/>
      <c r="M1152" s="43" t="s">
        <v>1295</v>
      </c>
      <c r="N1152" s="14">
        <v>400</v>
      </c>
      <c r="O1152" s="35">
        <v>354.75864640625701</v>
      </c>
      <c r="P1152" s="35"/>
      <c r="Q1152" s="35"/>
      <c r="R1152" s="146">
        <f t="shared" si="133"/>
        <v>354.75864640625701</v>
      </c>
      <c r="S1152" s="2">
        <f t="shared" si="134"/>
        <v>0.96401806088656794</v>
      </c>
    </row>
    <row r="1153" spans="1:19" x14ac:dyDescent="0.25">
      <c r="A1153" s="273"/>
      <c r="B1153" s="230"/>
      <c r="C1153" s="230"/>
      <c r="D1153" s="230"/>
      <c r="E1153" s="230"/>
      <c r="F1153" s="221"/>
      <c r="G1153" s="222"/>
      <c r="H1153" s="221"/>
      <c r="I1153" s="222"/>
      <c r="J1153" s="230"/>
      <c r="K1153" s="43"/>
      <c r="L1153" s="241"/>
      <c r="M1153" s="43" t="s">
        <v>1296</v>
      </c>
      <c r="N1153" s="14">
        <v>400</v>
      </c>
      <c r="O1153" s="35">
        <v>287.62435710488802</v>
      </c>
      <c r="P1153" s="35"/>
      <c r="Q1153" s="35">
        <f>5+15+11+15+15</f>
        <v>61</v>
      </c>
      <c r="R1153" s="146">
        <f t="shared" si="133"/>
        <v>348.62435710488802</v>
      </c>
      <c r="S1153" s="2">
        <f t="shared" si="134"/>
        <v>0.94734879648067394</v>
      </c>
    </row>
    <row r="1154" spans="1:19" ht="17.25" customHeight="1" x14ac:dyDescent="0.25">
      <c r="A1154" s="273"/>
      <c r="B1154" s="230"/>
      <c r="C1154" s="230"/>
      <c r="D1154" s="230"/>
      <c r="E1154" s="230"/>
      <c r="F1154" s="221"/>
      <c r="G1154" s="222"/>
      <c r="H1154" s="221"/>
      <c r="I1154" s="222"/>
      <c r="J1154" s="230"/>
      <c r="K1154" s="43"/>
      <c r="L1154" s="241"/>
      <c r="M1154" s="43" t="s">
        <v>1297</v>
      </c>
      <c r="N1154" s="14">
        <v>160</v>
      </c>
      <c r="O1154" s="35">
        <v>136.243116523368</v>
      </c>
      <c r="P1154" s="35"/>
      <c r="Q1154" s="35">
        <f>7+5+11+11+15</f>
        <v>49</v>
      </c>
      <c r="R1154" s="146">
        <f t="shared" si="133"/>
        <v>185.243116523368</v>
      </c>
      <c r="S1154" s="2">
        <f t="shared" si="134"/>
        <v>1.2584450850772282</v>
      </c>
    </row>
    <row r="1155" spans="1:19" x14ac:dyDescent="0.25">
      <c r="A1155" s="273"/>
      <c r="B1155" s="230"/>
      <c r="C1155" s="230"/>
      <c r="D1155" s="230"/>
      <c r="E1155" s="230"/>
      <c r="F1155" s="221"/>
      <c r="G1155" s="222"/>
      <c r="H1155" s="221"/>
      <c r="I1155" s="222"/>
      <c r="J1155" s="230"/>
      <c r="K1155" s="43"/>
      <c r="L1155" s="241"/>
      <c r="M1155" s="43" t="s">
        <v>1298</v>
      </c>
      <c r="N1155" s="14">
        <v>160</v>
      </c>
      <c r="O1155" s="35">
        <v>69.767006528874404</v>
      </c>
      <c r="P1155" s="35"/>
      <c r="Q1155" s="35">
        <f>7+15+8+1</f>
        <v>31</v>
      </c>
      <c r="R1155" s="146">
        <f t="shared" si="133"/>
        <v>100.7670065288744</v>
      </c>
      <c r="S1155" s="2">
        <f t="shared" si="134"/>
        <v>0.68455846826680977</v>
      </c>
    </row>
    <row r="1156" spans="1:19" x14ac:dyDescent="0.25">
      <c r="A1156" s="273"/>
      <c r="B1156" s="230"/>
      <c r="C1156" s="230"/>
      <c r="D1156" s="230"/>
      <c r="E1156" s="230"/>
      <c r="F1156" s="221"/>
      <c r="G1156" s="222"/>
      <c r="H1156" s="221"/>
      <c r="I1156" s="222"/>
      <c r="J1156" s="230"/>
      <c r="K1156" s="43"/>
      <c r="L1156" s="241"/>
      <c r="M1156" s="43" t="s">
        <v>1299</v>
      </c>
      <c r="N1156" s="14">
        <v>250</v>
      </c>
      <c r="O1156" s="35">
        <v>119.788633851464</v>
      </c>
      <c r="P1156" s="35"/>
      <c r="Q1156" s="35">
        <f>8+8+8+8+5+6+3</f>
        <v>46</v>
      </c>
      <c r="R1156" s="146">
        <f t="shared" si="133"/>
        <v>165.788633851464</v>
      </c>
      <c r="S1156" s="2">
        <f t="shared" si="134"/>
        <v>0.7208201471802782</v>
      </c>
    </row>
    <row r="1157" spans="1:19" x14ac:dyDescent="0.25">
      <c r="A1157" s="273"/>
      <c r="B1157" s="230"/>
      <c r="C1157" s="230"/>
      <c r="D1157" s="230"/>
      <c r="E1157" s="230"/>
      <c r="F1157" s="221"/>
      <c r="G1157" s="222"/>
      <c r="H1157" s="221"/>
      <c r="I1157" s="222"/>
      <c r="J1157" s="230"/>
      <c r="K1157" s="43"/>
      <c r="L1157" s="241"/>
      <c r="M1157" s="43" t="s">
        <v>1300</v>
      </c>
      <c r="N1157" s="14">
        <v>160</v>
      </c>
      <c r="O1157" s="35">
        <v>133.610399295863</v>
      </c>
      <c r="P1157" s="35"/>
      <c r="Q1157" s="35">
        <f>60+15+5</f>
        <v>80</v>
      </c>
      <c r="R1157" s="146">
        <f t="shared" si="133"/>
        <v>213.610399295863</v>
      </c>
      <c r="S1157" s="2">
        <f t="shared" si="134"/>
        <v>1.4511576039121126</v>
      </c>
    </row>
    <row r="1158" spans="1:19" x14ac:dyDescent="0.25">
      <c r="A1158" s="273"/>
      <c r="B1158" s="230"/>
      <c r="C1158" s="230"/>
      <c r="D1158" s="230"/>
      <c r="E1158" s="230"/>
      <c r="F1158" s="221"/>
      <c r="G1158" s="222"/>
      <c r="H1158" s="221"/>
      <c r="I1158" s="222"/>
      <c r="J1158" s="230"/>
      <c r="K1158" s="43"/>
      <c r="L1158" s="241"/>
      <c r="M1158" s="43" t="s">
        <v>1301</v>
      </c>
      <c r="N1158" s="14">
        <v>160</v>
      </c>
      <c r="O1158" s="35">
        <v>70.425185835750497</v>
      </c>
      <c r="P1158" s="35"/>
      <c r="Q1158" s="35"/>
      <c r="R1158" s="146">
        <f t="shared" si="133"/>
        <v>70.425185835750497</v>
      </c>
      <c r="S1158" s="2">
        <f t="shared" si="134"/>
        <v>0.47843196899287016</v>
      </c>
    </row>
    <row r="1159" spans="1:19" x14ac:dyDescent="0.25">
      <c r="A1159" s="273"/>
      <c r="B1159" s="230"/>
      <c r="C1159" s="230"/>
      <c r="D1159" s="230"/>
      <c r="E1159" s="230"/>
      <c r="F1159" s="221"/>
      <c r="G1159" s="222"/>
      <c r="H1159" s="221"/>
      <c r="I1159" s="222"/>
      <c r="J1159" s="230"/>
      <c r="K1159" s="43"/>
      <c r="L1159" s="241"/>
      <c r="M1159" s="43" t="s">
        <v>1302</v>
      </c>
      <c r="N1159" s="14">
        <v>160</v>
      </c>
      <c r="O1159" s="35">
        <v>119.788633851464</v>
      </c>
      <c r="P1159" s="35"/>
      <c r="Q1159" s="35"/>
      <c r="R1159" s="146">
        <f t="shared" si="133"/>
        <v>119.788633851464</v>
      </c>
      <c r="S1159" s="2">
        <f t="shared" si="134"/>
        <v>0.81378147996918471</v>
      </c>
    </row>
    <row r="1160" spans="1:19" x14ac:dyDescent="0.25">
      <c r="A1160" s="273"/>
      <c r="B1160" s="230"/>
      <c r="C1160" s="230"/>
      <c r="D1160" s="230"/>
      <c r="E1160" s="230"/>
      <c r="F1160" s="221"/>
      <c r="G1160" s="222"/>
      <c r="H1160" s="221"/>
      <c r="I1160" s="222"/>
      <c r="J1160" s="230"/>
      <c r="K1160" s="43"/>
      <c r="L1160" s="241"/>
      <c r="M1160" s="43" t="s">
        <v>1303</v>
      </c>
      <c r="N1160" s="14">
        <v>160</v>
      </c>
      <c r="O1160" s="35">
        <v>102.67597187268299</v>
      </c>
      <c r="P1160" s="35"/>
      <c r="Q1160" s="35">
        <f>11</f>
        <v>11</v>
      </c>
      <c r="R1160" s="146">
        <f t="shared" si="133"/>
        <v>113.67597187268299</v>
      </c>
      <c r="S1160" s="2">
        <f t="shared" si="134"/>
        <v>0.77225524370029197</v>
      </c>
    </row>
    <row r="1161" spans="1:19" x14ac:dyDescent="0.25">
      <c r="A1161" s="273"/>
      <c r="B1161" s="230"/>
      <c r="C1161" s="230"/>
      <c r="D1161" s="230"/>
      <c r="E1161" s="230"/>
      <c r="F1161" s="221"/>
      <c r="G1161" s="222"/>
      <c r="H1161" s="221"/>
      <c r="I1161" s="222"/>
      <c r="J1161" s="230"/>
      <c r="K1161" s="43"/>
      <c r="L1161" s="241"/>
      <c r="M1161" s="43" t="s">
        <v>1304</v>
      </c>
      <c r="N1161" s="14">
        <v>160</v>
      </c>
      <c r="O1161" s="35">
        <v>123.079530385844</v>
      </c>
      <c r="P1161" s="35"/>
      <c r="Q1161" s="35">
        <f>15+2+11+10</f>
        <v>38</v>
      </c>
      <c r="R1161" s="146">
        <f t="shared" si="133"/>
        <v>161.07953038584401</v>
      </c>
      <c r="S1161" s="2">
        <f t="shared" si="134"/>
        <v>1.0942902879473098</v>
      </c>
    </row>
    <row r="1162" spans="1:19" x14ac:dyDescent="0.25">
      <c r="A1162" s="273"/>
      <c r="B1162" s="230"/>
      <c r="C1162" s="230"/>
      <c r="D1162" s="230"/>
      <c r="E1162" s="230"/>
      <c r="F1162" s="221"/>
      <c r="G1162" s="222"/>
      <c r="H1162" s="221"/>
      <c r="I1162" s="222"/>
      <c r="J1162" s="230"/>
      <c r="K1162" s="43"/>
      <c r="L1162" s="241"/>
      <c r="M1162" s="43" t="s">
        <v>1305</v>
      </c>
      <c r="N1162" s="14">
        <v>250</v>
      </c>
      <c r="O1162" s="35">
        <v>158.62121295715801</v>
      </c>
      <c r="P1162" s="35"/>
      <c r="Q1162" s="35">
        <f>11+6+5+15+11+7+2+15</f>
        <v>72</v>
      </c>
      <c r="R1162" s="146">
        <f t="shared" si="133"/>
        <v>230.62121295715801</v>
      </c>
      <c r="S1162" s="2">
        <f t="shared" si="134"/>
        <v>1.0027009259006869</v>
      </c>
    </row>
    <row r="1163" spans="1:19" x14ac:dyDescent="0.25">
      <c r="A1163" s="273"/>
      <c r="B1163" s="230"/>
      <c r="C1163" s="230"/>
      <c r="D1163" s="230"/>
      <c r="E1163" s="230"/>
      <c r="F1163" s="221"/>
      <c r="G1163" s="222"/>
      <c r="H1163" s="221"/>
      <c r="I1163" s="222"/>
      <c r="J1163" s="230"/>
      <c r="K1163" s="43"/>
      <c r="L1163" s="241"/>
      <c r="M1163" s="43" t="s">
        <v>1306</v>
      </c>
      <c r="N1163" s="14">
        <v>100</v>
      </c>
      <c r="O1163" s="35">
        <v>38.832579105694201</v>
      </c>
      <c r="P1163" s="35"/>
      <c r="Q1163" s="35">
        <f>15+7+11</f>
        <v>33</v>
      </c>
      <c r="R1163" s="146">
        <f t="shared" si="133"/>
        <v>71.832579105694208</v>
      </c>
      <c r="S1163" s="2">
        <f t="shared" si="134"/>
        <v>0.78078890332276318</v>
      </c>
    </row>
    <row r="1164" spans="1:19" x14ac:dyDescent="0.25">
      <c r="A1164" s="273"/>
      <c r="B1164" s="230"/>
      <c r="C1164" s="230"/>
      <c r="D1164" s="230"/>
      <c r="E1164" s="230"/>
      <c r="F1164" s="221"/>
      <c r="G1164" s="222"/>
      <c r="H1164" s="221"/>
      <c r="I1164" s="222"/>
      <c r="J1164" s="230"/>
      <c r="K1164" s="43"/>
      <c r="L1164" s="241"/>
      <c r="M1164" s="43" t="s">
        <v>1307</v>
      </c>
      <c r="N1164" s="14">
        <v>160</v>
      </c>
      <c r="O1164" s="35">
        <v>67.134289301369705</v>
      </c>
      <c r="P1164" s="35"/>
      <c r="Q1164" s="35">
        <f>10+15</f>
        <v>25</v>
      </c>
      <c r="R1164" s="146">
        <f t="shared" si="133"/>
        <v>92.134289301369705</v>
      </c>
      <c r="S1164" s="2">
        <f t="shared" si="134"/>
        <v>0.62591229144952243</v>
      </c>
    </row>
    <row r="1165" spans="1:19" x14ac:dyDescent="0.25">
      <c r="A1165" s="273"/>
      <c r="B1165" s="230"/>
      <c r="C1165" s="230"/>
      <c r="D1165" s="230"/>
      <c r="E1165" s="230"/>
      <c r="F1165" s="221"/>
      <c r="G1165" s="222"/>
      <c r="H1165" s="221"/>
      <c r="I1165" s="222"/>
      <c r="J1165" s="230"/>
      <c r="K1165" s="43"/>
      <c r="L1165" s="241"/>
      <c r="M1165" s="43" t="s">
        <v>1308</v>
      </c>
      <c r="N1165" s="14">
        <v>160</v>
      </c>
      <c r="O1165" s="35">
        <v>0.65817930687617299</v>
      </c>
      <c r="P1165" s="35"/>
      <c r="Q1165" s="35"/>
      <c r="R1165" s="146">
        <f t="shared" si="133"/>
        <v>0.65817930687617299</v>
      </c>
      <c r="S1165" s="2">
        <f t="shared" si="134"/>
        <v>4.4713268130174792E-3</v>
      </c>
    </row>
    <row r="1166" spans="1:19" x14ac:dyDescent="0.25">
      <c r="A1166" s="273"/>
      <c r="B1166" s="230"/>
      <c r="C1166" s="230"/>
      <c r="D1166" s="230"/>
      <c r="E1166" s="230"/>
      <c r="F1166" s="221"/>
      <c r="G1166" s="222"/>
      <c r="H1166" s="221"/>
      <c r="I1166" s="222"/>
      <c r="J1166" s="230"/>
      <c r="K1166" s="43"/>
      <c r="L1166" s="241"/>
      <c r="M1166" s="43" t="s">
        <v>1309</v>
      </c>
      <c r="N1166" s="14">
        <v>160</v>
      </c>
      <c r="O1166" s="35">
        <v>0.65817930687617299</v>
      </c>
      <c r="P1166" s="35"/>
      <c r="Q1166" s="35">
        <f>7+5+5+11+15+1+1+10+11+15+11+15+11+11+15+11</f>
        <v>155</v>
      </c>
      <c r="R1166" s="146">
        <f t="shared" si="133"/>
        <v>155.65817930687618</v>
      </c>
      <c r="S1166" s="2">
        <f t="shared" si="134"/>
        <v>1.0574604572477999</v>
      </c>
    </row>
    <row r="1167" spans="1:19" x14ac:dyDescent="0.25">
      <c r="A1167" s="273"/>
      <c r="B1167" s="230"/>
      <c r="C1167" s="230"/>
      <c r="D1167" s="230"/>
      <c r="E1167" s="230"/>
      <c r="F1167" s="221"/>
      <c r="G1167" s="222"/>
      <c r="H1167" s="221"/>
      <c r="I1167" s="222"/>
      <c r="J1167" s="230"/>
      <c r="K1167" s="43"/>
      <c r="L1167" s="241"/>
      <c r="M1167" s="43" t="s">
        <v>1310</v>
      </c>
      <c r="N1167" s="14">
        <v>250</v>
      </c>
      <c r="O1167" s="35">
        <v>136.243116523368</v>
      </c>
      <c r="P1167" s="35"/>
      <c r="Q1167" s="35">
        <f>11+15+3+3+11+10+15</f>
        <v>68</v>
      </c>
      <c r="R1167" s="146">
        <f t="shared" si="133"/>
        <v>204.243116523368</v>
      </c>
      <c r="S1167" s="2">
        <f t="shared" si="134"/>
        <v>0.88801355010159999</v>
      </c>
    </row>
    <row r="1168" spans="1:19" x14ac:dyDescent="0.25">
      <c r="A1168" s="273"/>
      <c r="B1168" s="230"/>
      <c r="C1168" s="230"/>
      <c r="D1168" s="230"/>
      <c r="E1168" s="230"/>
      <c r="F1168" s="221"/>
      <c r="G1168" s="222"/>
      <c r="H1168" s="221"/>
      <c r="I1168" s="222"/>
      <c r="J1168" s="230"/>
      <c r="K1168" s="43"/>
      <c r="L1168" s="241"/>
      <c r="M1168" s="43" t="s">
        <v>1311</v>
      </c>
      <c r="N1168" s="14">
        <v>160</v>
      </c>
      <c r="O1168" s="35">
        <v>0.65817930687617299</v>
      </c>
      <c r="P1168" s="35"/>
      <c r="Q1168" s="35"/>
      <c r="R1168" s="146">
        <f t="shared" si="133"/>
        <v>0.65817930687617299</v>
      </c>
      <c r="S1168" s="2">
        <f t="shared" si="134"/>
        <v>4.4713268130174792E-3</v>
      </c>
    </row>
    <row r="1169" spans="1:19" x14ac:dyDescent="0.25">
      <c r="A1169" s="273"/>
      <c r="B1169" s="230"/>
      <c r="C1169" s="230"/>
      <c r="D1169" s="230"/>
      <c r="E1169" s="230"/>
      <c r="F1169" s="221"/>
      <c r="G1169" s="222"/>
      <c r="H1169" s="221"/>
      <c r="I1169" s="222"/>
      <c r="J1169" s="230"/>
      <c r="K1169" s="43"/>
      <c r="L1169" s="241"/>
      <c r="M1169" s="43" t="s">
        <v>1312</v>
      </c>
      <c r="N1169" s="14">
        <v>250</v>
      </c>
      <c r="O1169" s="35">
        <v>25.010813661294598</v>
      </c>
      <c r="P1169" s="35"/>
      <c r="Q1169" s="35"/>
      <c r="R1169" s="146">
        <f t="shared" si="133"/>
        <v>25.010813661294598</v>
      </c>
      <c r="S1169" s="2">
        <f t="shared" si="134"/>
        <v>0.1087426680925852</v>
      </c>
    </row>
    <row r="1170" spans="1:19" x14ac:dyDescent="0.25">
      <c r="A1170" s="273"/>
      <c r="B1170" s="230"/>
      <c r="C1170" s="230"/>
      <c r="D1170" s="230"/>
      <c r="E1170" s="230"/>
      <c r="F1170" s="221"/>
      <c r="G1170" s="222"/>
      <c r="H1170" s="221"/>
      <c r="I1170" s="222"/>
      <c r="J1170" s="230"/>
      <c r="K1170" s="43"/>
      <c r="L1170" s="241"/>
      <c r="M1170" s="43" t="s">
        <v>1313</v>
      </c>
      <c r="N1170" s="14">
        <v>400</v>
      </c>
      <c r="O1170" s="35">
        <v>56.603420391350902</v>
      </c>
      <c r="P1170" s="35"/>
      <c r="Q1170" s="35"/>
      <c r="R1170" s="146">
        <f t="shared" si="133"/>
        <v>56.603420391350902</v>
      </c>
      <c r="S1170" s="2">
        <f t="shared" si="134"/>
        <v>0.15381364236780137</v>
      </c>
    </row>
    <row r="1171" spans="1:19" x14ac:dyDescent="0.25">
      <c r="A1171" s="273"/>
      <c r="B1171" s="230"/>
      <c r="C1171" s="230"/>
      <c r="D1171" s="230"/>
      <c r="E1171" s="230"/>
      <c r="F1171" s="221"/>
      <c r="G1171" s="222"/>
      <c r="H1171" s="221"/>
      <c r="I1171" s="222"/>
      <c r="J1171" s="230"/>
      <c r="K1171" s="43"/>
      <c r="L1171" s="241"/>
      <c r="M1171" s="43" t="s">
        <v>1314</v>
      </c>
      <c r="N1171" s="14">
        <v>400</v>
      </c>
      <c r="O1171" s="35">
        <v>103.334151179559</v>
      </c>
      <c r="P1171" s="35"/>
      <c r="Q1171" s="35"/>
      <c r="R1171" s="146">
        <f t="shared" si="133"/>
        <v>103.334151179559</v>
      </c>
      <c r="S1171" s="2">
        <f t="shared" si="134"/>
        <v>0.28079932385749728</v>
      </c>
    </row>
    <row r="1172" spans="1:19" x14ac:dyDescent="0.25">
      <c r="A1172" s="273"/>
      <c r="B1172" s="230"/>
      <c r="C1172" s="230"/>
      <c r="D1172" s="230"/>
      <c r="E1172" s="230"/>
      <c r="F1172" s="221"/>
      <c r="G1172" s="222"/>
      <c r="H1172" s="221"/>
      <c r="I1172" s="222"/>
      <c r="J1172" s="230"/>
      <c r="K1172" s="43"/>
      <c r="L1172" s="241"/>
      <c r="M1172" s="43" t="s">
        <v>1315</v>
      </c>
      <c r="N1172" s="14">
        <v>400</v>
      </c>
      <c r="O1172" s="35">
        <v>157.304854343405</v>
      </c>
      <c r="P1172" s="35"/>
      <c r="Q1172" s="35"/>
      <c r="R1172" s="146">
        <f t="shared" si="133"/>
        <v>157.304854343405</v>
      </c>
      <c r="S1172" s="2">
        <f t="shared" si="134"/>
        <v>0.42745884332447009</v>
      </c>
    </row>
    <row r="1173" spans="1:19" x14ac:dyDescent="0.25">
      <c r="A1173" s="273"/>
      <c r="B1173" s="230"/>
      <c r="C1173" s="230"/>
      <c r="D1173" s="230"/>
      <c r="E1173" s="230"/>
      <c r="F1173" s="221"/>
      <c r="G1173" s="222"/>
      <c r="H1173" s="221"/>
      <c r="I1173" s="222"/>
      <c r="J1173" s="230"/>
      <c r="K1173" s="43"/>
      <c r="L1173" s="241"/>
      <c r="M1173" s="43" t="s">
        <v>1316</v>
      </c>
      <c r="N1173" s="14">
        <v>250</v>
      </c>
      <c r="O1173" s="35">
        <v>105.966868407064</v>
      </c>
      <c r="P1173" s="35"/>
      <c r="Q1173" s="35"/>
      <c r="R1173" s="146">
        <f t="shared" si="133"/>
        <v>105.966868407064</v>
      </c>
      <c r="S1173" s="2">
        <f t="shared" si="134"/>
        <v>0.46072551481332175</v>
      </c>
    </row>
    <row r="1174" spans="1:19" x14ac:dyDescent="0.25">
      <c r="A1174" s="273"/>
      <c r="B1174" s="230"/>
      <c r="C1174" s="230"/>
      <c r="D1174" s="230"/>
      <c r="E1174" s="230"/>
      <c r="F1174" s="221"/>
      <c r="G1174" s="222"/>
      <c r="H1174" s="221"/>
      <c r="I1174" s="222"/>
      <c r="J1174" s="230"/>
      <c r="K1174" s="43"/>
      <c r="L1174" s="241"/>
      <c r="M1174" s="43" t="s">
        <v>1317</v>
      </c>
      <c r="N1174" s="14">
        <v>100</v>
      </c>
      <c r="O1174" s="35">
        <v>42.781654946951299</v>
      </c>
      <c r="P1174" s="35"/>
      <c r="Q1174" s="35"/>
      <c r="R1174" s="146">
        <f t="shared" si="133"/>
        <v>42.781654946951299</v>
      </c>
      <c r="S1174" s="2">
        <f t="shared" si="134"/>
        <v>0.46501798855381848</v>
      </c>
    </row>
    <row r="1175" spans="1:19" hidden="1" x14ac:dyDescent="0.25">
      <c r="A1175" s="273"/>
      <c r="B1175" s="230"/>
      <c r="C1175" s="230"/>
      <c r="D1175" s="230"/>
      <c r="E1175" s="230"/>
      <c r="F1175" s="221"/>
      <c r="G1175" s="222"/>
      <c r="H1175" s="221"/>
      <c r="I1175" s="222"/>
      <c r="J1175" s="230"/>
      <c r="K1175" s="43"/>
      <c r="L1175" s="241"/>
      <c r="M1175" s="43" t="s">
        <v>1318</v>
      </c>
      <c r="N1175" s="14">
        <v>25</v>
      </c>
      <c r="O1175" s="35"/>
      <c r="P1175" s="35"/>
      <c r="Q1175" s="35"/>
      <c r="R1175" s="146">
        <f t="shared" si="133"/>
        <v>0</v>
      </c>
      <c r="S1175" s="35"/>
    </row>
    <row r="1176" spans="1:19" x14ac:dyDescent="0.25">
      <c r="A1176" s="273"/>
      <c r="B1176" s="230"/>
      <c r="C1176" s="230"/>
      <c r="D1176" s="230"/>
      <c r="E1176" s="230"/>
      <c r="F1176" s="221"/>
      <c r="G1176" s="222"/>
      <c r="H1176" s="221"/>
      <c r="I1176" s="222"/>
      <c r="J1176" s="230"/>
      <c r="K1176" s="43"/>
      <c r="L1176" s="241"/>
      <c r="M1176" s="43" t="s">
        <v>1319</v>
      </c>
      <c r="N1176" s="14">
        <v>63</v>
      </c>
      <c r="O1176" s="35">
        <v>0.65817930687617299</v>
      </c>
      <c r="P1176" s="35"/>
      <c r="Q1176" s="35"/>
      <c r="R1176" s="146">
        <f t="shared" si="133"/>
        <v>0.65817930687617299</v>
      </c>
      <c r="S1176" s="2">
        <f t="shared" ref="S1176:S1199" si="136">R1176/(N1176*0.92)</f>
        <v>1.1355750636234868E-2</v>
      </c>
    </row>
    <row r="1177" spans="1:19" x14ac:dyDescent="0.25">
      <c r="A1177" s="273"/>
      <c r="B1177" s="230"/>
      <c r="C1177" s="230"/>
      <c r="D1177" s="230"/>
      <c r="E1177" s="230"/>
      <c r="F1177" s="221"/>
      <c r="G1177" s="222"/>
      <c r="H1177" s="221"/>
      <c r="I1177" s="222"/>
      <c r="J1177" s="230"/>
      <c r="K1177" s="43"/>
      <c r="L1177" s="241"/>
      <c r="M1177" s="43" t="s">
        <v>1320</v>
      </c>
      <c r="N1177" s="14">
        <v>25</v>
      </c>
      <c r="O1177" s="35">
        <v>5.2654344550093901</v>
      </c>
      <c r="P1177" s="35"/>
      <c r="Q1177" s="35"/>
      <c r="R1177" s="146">
        <f t="shared" si="133"/>
        <v>5.2654344550093901</v>
      </c>
      <c r="S1177" s="2">
        <f t="shared" si="136"/>
        <v>0.22893193282649521</v>
      </c>
    </row>
    <row r="1178" spans="1:19" x14ac:dyDescent="0.25">
      <c r="A1178" s="273"/>
      <c r="B1178" s="230"/>
      <c r="C1178" s="230"/>
      <c r="D1178" s="230"/>
      <c r="E1178" s="230"/>
      <c r="F1178" s="223"/>
      <c r="G1178" s="224"/>
      <c r="H1178" s="221"/>
      <c r="I1178" s="222"/>
      <c r="J1178" s="231"/>
      <c r="K1178" s="43"/>
      <c r="L1178" s="242"/>
      <c r="M1178" s="43" t="s">
        <v>1321</v>
      </c>
      <c r="N1178" s="14">
        <v>250</v>
      </c>
      <c r="O1178" s="35">
        <v>60.552496232608</v>
      </c>
      <c r="P1178" s="35"/>
      <c r="Q1178" s="35"/>
      <c r="R1178" s="146">
        <f t="shared" si="133"/>
        <v>60.552496232608</v>
      </c>
      <c r="S1178" s="2">
        <f t="shared" si="136"/>
        <v>0.26327172275046956</v>
      </c>
    </row>
    <row r="1179" spans="1:19" x14ac:dyDescent="0.25">
      <c r="A1179" s="273">
        <v>61</v>
      </c>
      <c r="B1179" s="230"/>
      <c r="C1179" s="230"/>
      <c r="D1179" s="230"/>
      <c r="E1179" s="230"/>
      <c r="F1179" s="219" t="s">
        <v>30</v>
      </c>
      <c r="G1179" s="220"/>
      <c r="H1179" s="221"/>
      <c r="I1179" s="222"/>
      <c r="J1179" s="229"/>
      <c r="K1179" s="43"/>
      <c r="L1179" s="240">
        <f>SUM(S1179:S1199)</f>
        <v>3.3384908982543875</v>
      </c>
      <c r="M1179" s="43" t="s">
        <v>447</v>
      </c>
      <c r="N1179" s="3">
        <f>2*400</f>
        <v>800</v>
      </c>
      <c r="O1179" s="35">
        <v>81.6142340526455</v>
      </c>
      <c r="P1179" s="35"/>
      <c r="Q1179" s="35"/>
      <c r="R1179" s="146">
        <f t="shared" si="133"/>
        <v>81.6142340526455</v>
      </c>
      <c r="S1179" s="2">
        <f t="shared" si="136"/>
        <v>0.11088890496283356</v>
      </c>
    </row>
    <row r="1180" spans="1:19" x14ac:dyDescent="0.25">
      <c r="A1180" s="273"/>
      <c r="B1180" s="230"/>
      <c r="C1180" s="230"/>
      <c r="D1180" s="230"/>
      <c r="E1180" s="230"/>
      <c r="F1180" s="221"/>
      <c r="G1180" s="222"/>
      <c r="H1180" s="221"/>
      <c r="I1180" s="222"/>
      <c r="J1180" s="230"/>
      <c r="K1180" s="43"/>
      <c r="L1180" s="241"/>
      <c r="M1180" s="43" t="s">
        <v>500</v>
      </c>
      <c r="N1180" s="14">
        <v>630</v>
      </c>
      <c r="O1180" s="35">
        <v>55.945241084474702</v>
      </c>
      <c r="P1180" s="35"/>
      <c r="Q1180" s="35"/>
      <c r="R1180" s="146">
        <f t="shared" si="133"/>
        <v>55.945241084474702</v>
      </c>
      <c r="S1180" s="2">
        <f t="shared" si="136"/>
        <v>9.6523880407996379E-2</v>
      </c>
    </row>
    <row r="1181" spans="1:19" x14ac:dyDescent="0.25">
      <c r="A1181" s="273"/>
      <c r="B1181" s="230"/>
      <c r="C1181" s="230"/>
      <c r="D1181" s="230"/>
      <c r="E1181" s="230"/>
      <c r="F1181" s="221"/>
      <c r="G1181" s="222"/>
      <c r="H1181" s="221"/>
      <c r="I1181" s="222"/>
      <c r="J1181" s="230"/>
      <c r="K1181" s="43"/>
      <c r="L1181" s="241"/>
      <c r="M1181" s="43" t="s">
        <v>516</v>
      </c>
      <c r="N1181" s="3">
        <f t="shared" ref="N1181:N1182" si="137">2*400</f>
        <v>800</v>
      </c>
      <c r="O1181" s="35">
        <v>135.58493721649199</v>
      </c>
      <c r="P1181" s="35"/>
      <c r="Q1181" s="35"/>
      <c r="R1181" s="146">
        <f t="shared" si="133"/>
        <v>135.58493721649199</v>
      </c>
      <c r="S1181" s="2">
        <f t="shared" si="136"/>
        <v>0.18421866469632064</v>
      </c>
    </row>
    <row r="1182" spans="1:19" x14ac:dyDescent="0.25">
      <c r="A1182" s="273"/>
      <c r="B1182" s="230"/>
      <c r="C1182" s="230"/>
      <c r="D1182" s="230"/>
      <c r="E1182" s="230"/>
      <c r="F1182" s="221"/>
      <c r="G1182" s="222"/>
      <c r="H1182" s="221"/>
      <c r="I1182" s="222"/>
      <c r="J1182" s="230"/>
      <c r="K1182" s="43"/>
      <c r="L1182" s="241"/>
      <c r="M1182" s="43" t="s">
        <v>517</v>
      </c>
      <c r="N1182" s="3">
        <f t="shared" si="137"/>
        <v>800</v>
      </c>
      <c r="O1182" s="35">
        <v>53.312523856970003</v>
      </c>
      <c r="P1182" s="35"/>
      <c r="Q1182" s="35"/>
      <c r="R1182" s="146">
        <f t="shared" si="133"/>
        <v>53.312523856970003</v>
      </c>
      <c r="S1182" s="2">
        <f t="shared" si="136"/>
        <v>7.2435494370883161E-2</v>
      </c>
    </row>
    <row r="1183" spans="1:19" x14ac:dyDescent="0.25">
      <c r="A1183" s="273"/>
      <c r="B1183" s="230"/>
      <c r="C1183" s="230"/>
      <c r="D1183" s="230"/>
      <c r="E1183" s="230"/>
      <c r="F1183" s="221"/>
      <c r="G1183" s="222"/>
      <c r="H1183" s="221"/>
      <c r="I1183" s="222"/>
      <c r="J1183" s="230"/>
      <c r="K1183" s="43"/>
      <c r="L1183" s="241"/>
      <c r="M1183" s="43" t="s">
        <v>512</v>
      </c>
      <c r="N1183" s="14">
        <f t="shared" ref="N1183:N1184" si="138">2*630</f>
        <v>1260</v>
      </c>
      <c r="O1183" s="35">
        <v>147.432164740263</v>
      </c>
      <c r="P1183" s="35"/>
      <c r="Q1183" s="35"/>
      <c r="R1183" s="146">
        <f t="shared" si="133"/>
        <v>147.432164740263</v>
      </c>
      <c r="S1183" s="2">
        <f t="shared" si="136"/>
        <v>0.12718440712583073</v>
      </c>
    </row>
    <row r="1184" spans="1:19" x14ac:dyDescent="0.25">
      <c r="A1184" s="273"/>
      <c r="B1184" s="230"/>
      <c r="C1184" s="230"/>
      <c r="D1184" s="230"/>
      <c r="E1184" s="230"/>
      <c r="F1184" s="221"/>
      <c r="G1184" s="222"/>
      <c r="H1184" s="221"/>
      <c r="I1184" s="222"/>
      <c r="J1184" s="230"/>
      <c r="K1184" s="43"/>
      <c r="L1184" s="241"/>
      <c r="M1184" s="43" t="s">
        <v>513</v>
      </c>
      <c r="N1184" s="14">
        <f t="shared" si="138"/>
        <v>1260</v>
      </c>
      <c r="O1184" s="35">
        <v>90.170565042035705</v>
      </c>
      <c r="P1184" s="35"/>
      <c r="Q1184" s="35"/>
      <c r="R1184" s="146">
        <f t="shared" ref="R1184:R1247" si="139">O1184+P1184+Q1184</f>
        <v>90.170565042035705</v>
      </c>
      <c r="S1184" s="2">
        <f t="shared" si="136"/>
        <v>7.7786891858208848E-2</v>
      </c>
    </row>
    <row r="1185" spans="1:19" x14ac:dyDescent="0.25">
      <c r="A1185" s="273"/>
      <c r="B1185" s="230"/>
      <c r="C1185" s="230"/>
      <c r="D1185" s="230"/>
      <c r="E1185" s="230"/>
      <c r="F1185" s="221"/>
      <c r="G1185" s="222"/>
      <c r="H1185" s="221"/>
      <c r="I1185" s="222"/>
      <c r="J1185" s="230"/>
      <c r="K1185" s="43"/>
      <c r="L1185" s="241"/>
      <c r="M1185" s="43" t="s">
        <v>1255</v>
      </c>
      <c r="N1185" s="14">
        <v>400</v>
      </c>
      <c r="O1185" s="35">
        <v>67.792468608245898</v>
      </c>
      <c r="P1185" s="35"/>
      <c r="Q1185" s="35">
        <f>0.7+0.7+15</f>
        <v>16.399999999999999</v>
      </c>
      <c r="R1185" s="146">
        <f t="shared" si="139"/>
        <v>84.192468608245889</v>
      </c>
      <c r="S1185" s="2">
        <f t="shared" si="136"/>
        <v>0.22878388208762471</v>
      </c>
    </row>
    <row r="1186" spans="1:19" x14ac:dyDescent="0.25">
      <c r="A1186" s="273"/>
      <c r="B1186" s="230"/>
      <c r="C1186" s="230"/>
      <c r="D1186" s="230"/>
      <c r="E1186" s="230"/>
      <c r="F1186" s="221"/>
      <c r="G1186" s="222"/>
      <c r="H1186" s="221"/>
      <c r="I1186" s="222"/>
      <c r="J1186" s="230"/>
      <c r="K1186" s="43"/>
      <c r="L1186" s="241"/>
      <c r="M1186" s="43" t="s">
        <v>1279</v>
      </c>
      <c r="N1186" s="86">
        <f>2*400</f>
        <v>800</v>
      </c>
      <c r="O1186" s="35">
        <v>100.701433952055</v>
      </c>
      <c r="P1186" s="35"/>
      <c r="Q1186" s="35"/>
      <c r="R1186" s="146">
        <f t="shared" si="139"/>
        <v>100.701433952055</v>
      </c>
      <c r="S1186" s="2">
        <f t="shared" si="136"/>
        <v>0.13682260047833558</v>
      </c>
    </row>
    <row r="1187" spans="1:19" x14ac:dyDescent="0.25">
      <c r="A1187" s="273"/>
      <c r="B1187" s="230"/>
      <c r="C1187" s="230"/>
      <c r="D1187" s="230"/>
      <c r="E1187" s="230"/>
      <c r="F1187" s="221"/>
      <c r="G1187" s="222"/>
      <c r="H1187" s="221"/>
      <c r="I1187" s="222"/>
      <c r="J1187" s="230"/>
      <c r="K1187" s="43"/>
      <c r="L1187" s="241"/>
      <c r="M1187" s="43" t="s">
        <v>1280</v>
      </c>
      <c r="N1187" s="14">
        <v>250</v>
      </c>
      <c r="O1187" s="35">
        <v>34.883503264437202</v>
      </c>
      <c r="P1187" s="35"/>
      <c r="Q1187" s="35"/>
      <c r="R1187" s="146">
        <f t="shared" si="139"/>
        <v>34.883503264437202</v>
      </c>
      <c r="S1187" s="2">
        <f t="shared" si="136"/>
        <v>0.15166740549755306</v>
      </c>
    </row>
    <row r="1188" spans="1:19" x14ac:dyDescent="0.25">
      <c r="A1188" s="273"/>
      <c r="B1188" s="230"/>
      <c r="C1188" s="230"/>
      <c r="D1188" s="230"/>
      <c r="E1188" s="230"/>
      <c r="F1188" s="221"/>
      <c r="G1188" s="222"/>
      <c r="H1188" s="221"/>
      <c r="I1188" s="222"/>
      <c r="J1188" s="230"/>
      <c r="K1188" s="43"/>
      <c r="L1188" s="241"/>
      <c r="M1188" s="43" t="s">
        <v>1281</v>
      </c>
      <c r="N1188" s="14">
        <v>400</v>
      </c>
      <c r="O1188" s="35">
        <v>37.516220491941901</v>
      </c>
      <c r="P1188" s="35"/>
      <c r="Q1188" s="35"/>
      <c r="R1188" s="146">
        <f t="shared" si="139"/>
        <v>37.516220491941901</v>
      </c>
      <c r="S1188" s="2">
        <f t="shared" si="136"/>
        <v>0.10194625133679865</v>
      </c>
    </row>
    <row r="1189" spans="1:19" x14ac:dyDescent="0.25">
      <c r="A1189" s="273"/>
      <c r="B1189" s="230"/>
      <c r="C1189" s="230"/>
      <c r="D1189" s="230"/>
      <c r="E1189" s="230"/>
      <c r="F1189" s="221"/>
      <c r="G1189" s="222"/>
      <c r="H1189" s="221"/>
      <c r="I1189" s="222"/>
      <c r="J1189" s="230"/>
      <c r="K1189" s="43"/>
      <c r="L1189" s="241"/>
      <c r="M1189" s="43" t="s">
        <v>1257</v>
      </c>
      <c r="N1189" s="14">
        <f>2*250</f>
        <v>500</v>
      </c>
      <c r="O1189" s="35">
        <v>40.1489377194466</v>
      </c>
      <c r="P1189" s="35"/>
      <c r="Q1189" s="35"/>
      <c r="R1189" s="146">
        <f t="shared" si="139"/>
        <v>40.1489377194466</v>
      </c>
      <c r="S1189" s="2">
        <f t="shared" si="136"/>
        <v>8.7280299390101304E-2</v>
      </c>
    </row>
    <row r="1190" spans="1:19" x14ac:dyDescent="0.25">
      <c r="A1190" s="273"/>
      <c r="B1190" s="230"/>
      <c r="C1190" s="230"/>
      <c r="D1190" s="230"/>
      <c r="E1190" s="230"/>
      <c r="F1190" s="221"/>
      <c r="G1190" s="222"/>
      <c r="H1190" s="221"/>
      <c r="I1190" s="222"/>
      <c r="J1190" s="230"/>
      <c r="K1190" s="43"/>
      <c r="L1190" s="241"/>
      <c r="M1190" s="43" t="s">
        <v>1322</v>
      </c>
      <c r="N1190" s="14">
        <v>400</v>
      </c>
      <c r="O1190" s="35">
        <v>91.486923655788104</v>
      </c>
      <c r="P1190" s="35"/>
      <c r="Q1190" s="35"/>
      <c r="R1190" s="146">
        <f t="shared" si="139"/>
        <v>91.486923655788104</v>
      </c>
      <c r="S1190" s="2">
        <f t="shared" si="136"/>
        <v>0.24860577080377202</v>
      </c>
    </row>
    <row r="1191" spans="1:19" x14ac:dyDescent="0.25">
      <c r="A1191" s="273"/>
      <c r="B1191" s="230"/>
      <c r="C1191" s="230"/>
      <c r="D1191" s="230"/>
      <c r="E1191" s="230"/>
      <c r="F1191" s="221"/>
      <c r="G1191" s="222"/>
      <c r="H1191" s="221"/>
      <c r="I1191" s="222"/>
      <c r="J1191" s="230"/>
      <c r="K1191" s="43"/>
      <c r="L1191" s="241"/>
      <c r="M1191" s="43" t="s">
        <v>1323</v>
      </c>
      <c r="N1191" s="14">
        <v>630</v>
      </c>
      <c r="O1191" s="35">
        <v>95.435999497045103</v>
      </c>
      <c r="P1191" s="35"/>
      <c r="Q1191" s="35"/>
      <c r="R1191" s="146">
        <f t="shared" si="139"/>
        <v>95.435999497045103</v>
      </c>
      <c r="S1191" s="2">
        <f t="shared" si="136"/>
        <v>0.16465838422540563</v>
      </c>
    </row>
    <row r="1192" spans="1:19" x14ac:dyDescent="0.25">
      <c r="A1192" s="273"/>
      <c r="B1192" s="230"/>
      <c r="C1192" s="230"/>
      <c r="D1192" s="230"/>
      <c r="E1192" s="230"/>
      <c r="F1192" s="221"/>
      <c r="G1192" s="222"/>
      <c r="H1192" s="221"/>
      <c r="I1192" s="222"/>
      <c r="J1192" s="230"/>
      <c r="K1192" s="43"/>
      <c r="L1192" s="241"/>
      <c r="M1192" s="43" t="s">
        <v>1259</v>
      </c>
      <c r="N1192" s="1">
        <f>2*630</f>
        <v>1260</v>
      </c>
      <c r="O1192" s="35">
        <v>67.134289301369705</v>
      </c>
      <c r="P1192" s="35"/>
      <c r="Q1192" s="35"/>
      <c r="R1192" s="146">
        <f t="shared" si="139"/>
        <v>67.134289301369705</v>
      </c>
      <c r="S1192" s="2">
        <f t="shared" si="136"/>
        <v>5.7914328244797877E-2</v>
      </c>
    </row>
    <row r="1193" spans="1:19" x14ac:dyDescent="0.25">
      <c r="A1193" s="273"/>
      <c r="B1193" s="230"/>
      <c r="C1193" s="230"/>
      <c r="D1193" s="230"/>
      <c r="E1193" s="230"/>
      <c r="F1193" s="221"/>
      <c r="G1193" s="222"/>
      <c r="H1193" s="221"/>
      <c r="I1193" s="222"/>
      <c r="J1193" s="230"/>
      <c r="K1193" s="43"/>
      <c r="L1193" s="241"/>
      <c r="M1193" s="43" t="s">
        <v>1260</v>
      </c>
      <c r="N1193" s="14">
        <v>250</v>
      </c>
      <c r="O1193" s="35">
        <v>98.726896031425994</v>
      </c>
      <c r="P1193" s="35"/>
      <c r="Q1193" s="35"/>
      <c r="R1193" s="146">
        <f t="shared" si="139"/>
        <v>98.726896031425994</v>
      </c>
      <c r="S1193" s="2">
        <f t="shared" si="136"/>
        <v>0.42924737404967822</v>
      </c>
    </row>
    <row r="1194" spans="1:19" x14ac:dyDescent="0.25">
      <c r="A1194" s="273"/>
      <c r="B1194" s="230"/>
      <c r="C1194" s="230"/>
      <c r="D1194" s="230"/>
      <c r="E1194" s="230"/>
      <c r="F1194" s="221"/>
      <c r="G1194" s="222"/>
      <c r="H1194" s="221"/>
      <c r="I1194" s="222"/>
      <c r="J1194" s="230"/>
      <c r="K1194" s="43"/>
      <c r="L1194" s="241"/>
      <c r="M1194" s="43" t="s">
        <v>1282</v>
      </c>
      <c r="N1194" s="14">
        <v>250</v>
      </c>
      <c r="O1194" s="35">
        <v>94.119640883292803</v>
      </c>
      <c r="P1194" s="35"/>
      <c r="Q1194" s="35"/>
      <c r="R1194" s="146">
        <f t="shared" si="139"/>
        <v>94.119640883292803</v>
      </c>
      <c r="S1194" s="2">
        <f t="shared" si="136"/>
        <v>0.40921582992736</v>
      </c>
    </row>
    <row r="1195" spans="1:19" x14ac:dyDescent="0.25">
      <c r="A1195" s="273"/>
      <c r="B1195" s="230"/>
      <c r="C1195" s="230"/>
      <c r="D1195" s="230"/>
      <c r="E1195" s="230"/>
      <c r="F1195" s="221"/>
      <c r="G1195" s="222"/>
      <c r="H1195" s="221"/>
      <c r="I1195" s="222"/>
      <c r="J1195" s="230"/>
      <c r="K1195" s="43"/>
      <c r="L1195" s="241"/>
      <c r="M1195" s="43" t="s">
        <v>1262</v>
      </c>
      <c r="N1195" s="86">
        <f t="shared" ref="N1195:N1196" si="140">2*400</f>
        <v>800</v>
      </c>
      <c r="O1195" s="35">
        <v>15.138124058152</v>
      </c>
      <c r="P1195" s="35"/>
      <c r="Q1195" s="35"/>
      <c r="R1195" s="146">
        <f t="shared" si="139"/>
        <v>15.138124058152</v>
      </c>
      <c r="S1195" s="2">
        <f t="shared" si="136"/>
        <v>2.0568103339880434E-2</v>
      </c>
    </row>
    <row r="1196" spans="1:19" x14ac:dyDescent="0.25">
      <c r="A1196" s="273"/>
      <c r="B1196" s="230"/>
      <c r="C1196" s="230"/>
      <c r="D1196" s="230"/>
      <c r="E1196" s="230"/>
      <c r="F1196" s="221"/>
      <c r="G1196" s="222"/>
      <c r="H1196" s="221"/>
      <c r="I1196" s="222"/>
      <c r="J1196" s="230"/>
      <c r="K1196" s="43"/>
      <c r="L1196" s="241"/>
      <c r="M1196" s="43" t="s">
        <v>1263</v>
      </c>
      <c r="N1196" s="86">
        <f t="shared" si="140"/>
        <v>800</v>
      </c>
      <c r="O1196" s="35">
        <v>9.2145102962664307</v>
      </c>
      <c r="P1196" s="35"/>
      <c r="Q1196" s="35"/>
      <c r="R1196" s="146">
        <f t="shared" si="139"/>
        <v>9.2145102962664307</v>
      </c>
      <c r="S1196" s="2">
        <f t="shared" si="136"/>
        <v>1.2519715076448956E-2</v>
      </c>
    </row>
    <row r="1197" spans="1:19" x14ac:dyDescent="0.25">
      <c r="A1197" s="273"/>
      <c r="B1197" s="230"/>
      <c r="C1197" s="230"/>
      <c r="D1197" s="230"/>
      <c r="E1197" s="230"/>
      <c r="F1197" s="221"/>
      <c r="G1197" s="222"/>
      <c r="H1197" s="221"/>
      <c r="I1197" s="222"/>
      <c r="J1197" s="230"/>
      <c r="K1197" s="43"/>
      <c r="L1197" s="241"/>
      <c r="M1197" s="43" t="s">
        <v>509</v>
      </c>
      <c r="N1197" s="3">
        <f>2*400</f>
        <v>800</v>
      </c>
      <c r="O1197" s="35">
        <v>273.80259166048802</v>
      </c>
      <c r="P1197" s="35"/>
      <c r="Q1197" s="35"/>
      <c r="R1197" s="146">
        <f t="shared" si="139"/>
        <v>273.80259166048802</v>
      </c>
      <c r="S1197" s="2">
        <f t="shared" si="136"/>
        <v>0.37201439084305438</v>
      </c>
    </row>
    <row r="1198" spans="1:19" x14ac:dyDescent="0.25">
      <c r="A1198" s="273"/>
      <c r="B1198" s="230"/>
      <c r="C1198" s="230"/>
      <c r="D1198" s="230"/>
      <c r="E1198" s="230"/>
      <c r="F1198" s="221"/>
      <c r="G1198" s="222"/>
      <c r="H1198" s="221"/>
      <c r="I1198" s="222"/>
      <c r="J1198" s="230"/>
      <c r="K1198" s="43"/>
      <c r="L1198" s="241"/>
      <c r="M1198" s="43" t="s">
        <v>273</v>
      </c>
      <c r="N1198" s="14">
        <v>400</v>
      </c>
      <c r="O1198" s="35">
        <v>0.65817930687617299</v>
      </c>
      <c r="P1198" s="35"/>
      <c r="Q1198" s="35"/>
      <c r="R1198" s="146">
        <f t="shared" si="139"/>
        <v>0.65817930687617299</v>
      </c>
      <c r="S1198" s="2">
        <f t="shared" si="136"/>
        <v>1.7885307252069919E-3</v>
      </c>
    </row>
    <row r="1199" spans="1:19" x14ac:dyDescent="0.25">
      <c r="A1199" s="274"/>
      <c r="B1199" s="230"/>
      <c r="C1199" s="230"/>
      <c r="D1199" s="230"/>
      <c r="E1199" s="230"/>
      <c r="F1199" s="223"/>
      <c r="G1199" s="224"/>
      <c r="H1199" s="221"/>
      <c r="I1199" s="222"/>
      <c r="J1199" s="231"/>
      <c r="K1199" s="43"/>
      <c r="L1199" s="242"/>
      <c r="M1199" s="43" t="s">
        <v>424</v>
      </c>
      <c r="N1199" s="14">
        <f>2*630</f>
        <v>1260</v>
      </c>
      <c r="O1199" s="35">
        <v>285.649819184259</v>
      </c>
      <c r="P1199" s="35"/>
      <c r="Q1199" s="35"/>
      <c r="R1199" s="146">
        <f t="shared" si="139"/>
        <v>285.649819184259</v>
      </c>
      <c r="S1199" s="2">
        <f t="shared" si="136"/>
        <v>0.24641978880629659</v>
      </c>
    </row>
    <row r="1200" spans="1:19" hidden="1" x14ac:dyDescent="0.25">
      <c r="A1200" s="220">
        <f>A1179+1</f>
        <v>62</v>
      </c>
      <c r="B1200" s="230"/>
      <c r="C1200" s="230"/>
      <c r="D1200" s="230"/>
      <c r="E1200" s="230"/>
      <c r="F1200" s="219" t="s">
        <v>31</v>
      </c>
      <c r="G1200" s="220"/>
      <c r="H1200" s="221"/>
      <c r="I1200" s="222"/>
      <c r="J1200" s="229"/>
      <c r="K1200" s="43"/>
      <c r="L1200" s="229">
        <v>3.391</v>
      </c>
      <c r="M1200" s="43" t="s">
        <v>522</v>
      </c>
      <c r="N1200" s="14" t="s">
        <v>272</v>
      </c>
      <c r="O1200" s="35">
        <v>0</v>
      </c>
      <c r="P1200" s="35"/>
      <c r="Q1200" s="35"/>
      <c r="R1200" s="146">
        <f t="shared" si="139"/>
        <v>0</v>
      </c>
      <c r="S1200" s="35">
        <v>0</v>
      </c>
    </row>
    <row r="1201" spans="1:19" hidden="1" x14ac:dyDescent="0.25">
      <c r="A1201" s="222"/>
      <c r="B1201" s="230"/>
      <c r="C1201" s="230"/>
      <c r="D1201" s="230"/>
      <c r="E1201" s="230"/>
      <c r="F1201" s="221"/>
      <c r="G1201" s="222"/>
      <c r="H1201" s="221"/>
      <c r="I1201" s="222"/>
      <c r="J1201" s="230"/>
      <c r="K1201" s="43"/>
      <c r="L1201" s="230"/>
      <c r="M1201" s="43" t="s">
        <v>1251</v>
      </c>
      <c r="N1201" s="14" t="s">
        <v>166</v>
      </c>
      <c r="O1201" s="35">
        <v>0</v>
      </c>
      <c r="P1201" s="35"/>
      <c r="Q1201" s="35"/>
      <c r="R1201" s="146">
        <f t="shared" si="139"/>
        <v>0</v>
      </c>
      <c r="S1201" s="35">
        <v>0</v>
      </c>
    </row>
    <row r="1202" spans="1:19" hidden="1" x14ac:dyDescent="0.25">
      <c r="A1202" s="222"/>
      <c r="B1202" s="230"/>
      <c r="C1202" s="230"/>
      <c r="D1202" s="230"/>
      <c r="E1202" s="230"/>
      <c r="F1202" s="221"/>
      <c r="G1202" s="222"/>
      <c r="H1202" s="221"/>
      <c r="I1202" s="222"/>
      <c r="J1202" s="230"/>
      <c r="K1202" s="43"/>
      <c r="L1202" s="230"/>
      <c r="M1202" s="43" t="s">
        <v>1252</v>
      </c>
      <c r="N1202" s="14" t="s">
        <v>1253</v>
      </c>
      <c r="O1202" s="35">
        <v>0</v>
      </c>
      <c r="P1202" s="35"/>
      <c r="Q1202" s="35"/>
      <c r="R1202" s="146">
        <f t="shared" si="139"/>
        <v>0</v>
      </c>
      <c r="S1202" s="35">
        <v>0</v>
      </c>
    </row>
    <row r="1203" spans="1:19" hidden="1" x14ac:dyDescent="0.25">
      <c r="A1203" s="224"/>
      <c r="B1203" s="230"/>
      <c r="C1203" s="230"/>
      <c r="D1203" s="230"/>
      <c r="E1203" s="230"/>
      <c r="F1203" s="223"/>
      <c r="G1203" s="224"/>
      <c r="H1203" s="221"/>
      <c r="I1203" s="222"/>
      <c r="J1203" s="231"/>
      <c r="K1203" s="43"/>
      <c r="L1203" s="231"/>
      <c r="M1203" s="43"/>
      <c r="N1203" s="14"/>
      <c r="O1203" s="35"/>
      <c r="P1203" s="35"/>
      <c r="Q1203" s="35"/>
      <c r="R1203" s="146">
        <f t="shared" si="139"/>
        <v>0</v>
      </c>
      <c r="S1203" s="35"/>
    </row>
    <row r="1204" spans="1:19" x14ac:dyDescent="0.25">
      <c r="A1204" s="229">
        <f>A1200+1</f>
        <v>63</v>
      </c>
      <c r="B1204" s="230"/>
      <c r="C1204" s="230"/>
      <c r="D1204" s="230"/>
      <c r="E1204" s="230"/>
      <c r="F1204" s="219" t="s">
        <v>32</v>
      </c>
      <c r="G1204" s="220"/>
      <c r="H1204" s="221"/>
      <c r="I1204" s="222"/>
      <c r="J1204" s="229"/>
      <c r="K1204" s="43"/>
      <c r="L1204" s="240">
        <f>SUM(S1204:S1206)</f>
        <v>0.37698253174640683</v>
      </c>
      <c r="M1204" s="43" t="s">
        <v>425</v>
      </c>
      <c r="N1204" s="14">
        <f>2*630</f>
        <v>1260</v>
      </c>
      <c r="O1204" s="35">
        <v>285.649819184259</v>
      </c>
      <c r="P1204" s="35"/>
      <c r="Q1204" s="35"/>
      <c r="R1204" s="146">
        <f t="shared" si="139"/>
        <v>285.649819184259</v>
      </c>
      <c r="S1204" s="2">
        <f t="shared" ref="S1204:S1243" si="141">R1204/(N1204*0.92)</f>
        <v>0.24641978880629659</v>
      </c>
    </row>
    <row r="1205" spans="1:19" x14ac:dyDescent="0.25">
      <c r="A1205" s="230"/>
      <c r="B1205" s="230"/>
      <c r="C1205" s="230"/>
      <c r="D1205" s="230"/>
      <c r="E1205" s="230"/>
      <c r="F1205" s="221"/>
      <c r="G1205" s="222"/>
      <c r="H1205" s="221"/>
      <c r="I1205" s="222"/>
      <c r="J1205" s="230"/>
      <c r="K1205" s="43"/>
      <c r="L1205" s="241"/>
      <c r="M1205" s="43" t="s">
        <v>1324</v>
      </c>
      <c r="N1205" s="14">
        <v>100</v>
      </c>
      <c r="O1205" s="35">
        <v>11.8472275237711</v>
      </c>
      <c r="P1205" s="35"/>
      <c r="Q1205" s="35"/>
      <c r="R1205" s="146">
        <f t="shared" si="139"/>
        <v>11.8472275237711</v>
      </c>
      <c r="S1205" s="2">
        <f t="shared" si="141"/>
        <v>0.12877421221490326</v>
      </c>
    </row>
    <row r="1206" spans="1:19" x14ac:dyDescent="0.25">
      <c r="A1206" s="231"/>
      <c r="B1206" s="230"/>
      <c r="C1206" s="230"/>
      <c r="D1206" s="230"/>
      <c r="E1206" s="230"/>
      <c r="F1206" s="223"/>
      <c r="G1206" s="224"/>
      <c r="H1206" s="221"/>
      <c r="I1206" s="222"/>
      <c r="J1206" s="231"/>
      <c r="K1206" s="43"/>
      <c r="L1206" s="242"/>
      <c r="M1206" s="43" t="s">
        <v>1325</v>
      </c>
      <c r="N1206" s="14">
        <v>400</v>
      </c>
      <c r="O1206" s="35">
        <v>0.65817930687617299</v>
      </c>
      <c r="P1206" s="35"/>
      <c r="Q1206" s="35"/>
      <c r="R1206" s="146">
        <f t="shared" si="139"/>
        <v>0.65817930687617299</v>
      </c>
      <c r="S1206" s="2">
        <f t="shared" si="141"/>
        <v>1.7885307252069919E-3</v>
      </c>
    </row>
    <row r="1207" spans="1:19" x14ac:dyDescent="0.25">
      <c r="A1207" s="229">
        <f>A1204+1</f>
        <v>64</v>
      </c>
      <c r="B1207" s="230"/>
      <c r="C1207" s="230"/>
      <c r="D1207" s="230"/>
      <c r="E1207" s="230"/>
      <c r="F1207" s="219" t="s">
        <v>33</v>
      </c>
      <c r="G1207" s="220"/>
      <c r="H1207" s="221"/>
      <c r="I1207" s="222"/>
      <c r="J1207" s="229"/>
      <c r="K1207" s="43"/>
      <c r="L1207" s="240">
        <f>SUM(S1207:S1218)</f>
        <v>1.7586785490425549</v>
      </c>
      <c r="M1207" s="43" t="s">
        <v>440</v>
      </c>
      <c r="N1207" s="160">
        <f>2*160</f>
        <v>320</v>
      </c>
      <c r="O1207" s="35">
        <v>50.679806629465297</v>
      </c>
      <c r="P1207" s="35"/>
      <c r="Q1207" s="35"/>
      <c r="R1207" s="146">
        <f t="shared" si="139"/>
        <v>50.679806629465297</v>
      </c>
      <c r="S1207" s="2">
        <f t="shared" si="141"/>
        <v>0.17214608230117287</v>
      </c>
    </row>
    <row r="1208" spans="1:19" x14ac:dyDescent="0.25">
      <c r="A1208" s="230"/>
      <c r="B1208" s="230"/>
      <c r="C1208" s="230"/>
      <c r="D1208" s="230"/>
      <c r="E1208" s="230"/>
      <c r="F1208" s="221"/>
      <c r="G1208" s="222"/>
      <c r="H1208" s="221"/>
      <c r="I1208" s="222"/>
      <c r="J1208" s="230"/>
      <c r="K1208" s="43"/>
      <c r="L1208" s="241"/>
      <c r="M1208" s="43" t="s">
        <v>474</v>
      </c>
      <c r="N1208" s="14">
        <f>2*630</f>
        <v>1260</v>
      </c>
      <c r="O1208" s="35">
        <v>152.039419888396</v>
      </c>
      <c r="P1208" s="35"/>
      <c r="Q1208" s="35"/>
      <c r="R1208" s="146">
        <f t="shared" si="139"/>
        <v>152.039419888396</v>
      </c>
      <c r="S1208" s="2">
        <f t="shared" si="141"/>
        <v>0.13115891984851277</v>
      </c>
    </row>
    <row r="1209" spans="1:19" x14ac:dyDescent="0.25">
      <c r="A1209" s="230"/>
      <c r="B1209" s="230"/>
      <c r="C1209" s="230"/>
      <c r="D1209" s="230"/>
      <c r="E1209" s="230"/>
      <c r="F1209" s="221"/>
      <c r="G1209" s="222"/>
      <c r="H1209" s="221"/>
      <c r="I1209" s="222"/>
      <c r="J1209" s="230"/>
      <c r="K1209" s="43"/>
      <c r="L1209" s="241"/>
      <c r="M1209" s="43" t="s">
        <v>450</v>
      </c>
      <c r="N1209" s="3">
        <f>2*250</f>
        <v>500</v>
      </c>
      <c r="O1209" s="35">
        <v>31.5926067300563</v>
      </c>
      <c r="P1209" s="35"/>
      <c r="Q1209" s="35"/>
      <c r="R1209" s="146">
        <f t="shared" si="139"/>
        <v>31.5926067300563</v>
      </c>
      <c r="S1209" s="2">
        <f t="shared" si="141"/>
        <v>6.867957984794848E-2</v>
      </c>
    </row>
    <row r="1210" spans="1:19" x14ac:dyDescent="0.25">
      <c r="A1210" s="230"/>
      <c r="B1210" s="230"/>
      <c r="C1210" s="230"/>
      <c r="D1210" s="230"/>
      <c r="E1210" s="230"/>
      <c r="F1210" s="221"/>
      <c r="G1210" s="222"/>
      <c r="H1210" s="221"/>
      <c r="I1210" s="222"/>
      <c r="J1210" s="230"/>
      <c r="K1210" s="43"/>
      <c r="L1210" s="241"/>
      <c r="M1210" s="43" t="s">
        <v>1326</v>
      </c>
      <c r="N1210" s="14">
        <v>63</v>
      </c>
      <c r="O1210" s="35">
        <v>1.9745379206285201</v>
      </c>
      <c r="P1210" s="35"/>
      <c r="Q1210" s="35"/>
      <c r="R1210" s="146">
        <f t="shared" si="139"/>
        <v>1.9745379206285201</v>
      </c>
      <c r="S1210" s="2">
        <f t="shared" si="141"/>
        <v>3.4067251908704625E-2</v>
      </c>
    </row>
    <row r="1211" spans="1:19" x14ac:dyDescent="0.25">
      <c r="A1211" s="230"/>
      <c r="B1211" s="230"/>
      <c r="C1211" s="230"/>
      <c r="D1211" s="230"/>
      <c r="E1211" s="230"/>
      <c r="F1211" s="221"/>
      <c r="G1211" s="222"/>
      <c r="H1211" s="221"/>
      <c r="I1211" s="222"/>
      <c r="J1211" s="230"/>
      <c r="K1211" s="43"/>
      <c r="L1211" s="241"/>
      <c r="M1211" s="43" t="s">
        <v>1283</v>
      </c>
      <c r="N1211" s="1">
        <f>2*630</f>
        <v>1260</v>
      </c>
      <c r="O1211" s="35">
        <v>116.49773731708299</v>
      </c>
      <c r="P1211" s="35"/>
      <c r="Q1211" s="35"/>
      <c r="R1211" s="146">
        <f t="shared" si="139"/>
        <v>116.49773731708299</v>
      </c>
      <c r="S1211" s="2">
        <f t="shared" si="141"/>
        <v>0.1004983931306789</v>
      </c>
    </row>
    <row r="1212" spans="1:19" x14ac:dyDescent="0.25">
      <c r="A1212" s="230"/>
      <c r="B1212" s="230"/>
      <c r="C1212" s="230"/>
      <c r="D1212" s="230"/>
      <c r="E1212" s="230"/>
      <c r="F1212" s="221"/>
      <c r="G1212" s="222"/>
      <c r="H1212" s="221"/>
      <c r="I1212" s="222"/>
      <c r="J1212" s="230"/>
      <c r="K1212" s="43"/>
      <c r="L1212" s="241"/>
      <c r="M1212" s="43" t="s">
        <v>1284</v>
      </c>
      <c r="N1212" s="14">
        <v>160</v>
      </c>
      <c r="O1212" s="35">
        <v>13.821765444399601</v>
      </c>
      <c r="P1212" s="35"/>
      <c r="Q1212" s="35"/>
      <c r="R1212" s="146">
        <f t="shared" si="139"/>
        <v>13.821765444399601</v>
      </c>
      <c r="S1212" s="2">
        <f t="shared" si="141"/>
        <v>9.3897863073366838E-2</v>
      </c>
    </row>
    <row r="1213" spans="1:19" x14ac:dyDescent="0.25">
      <c r="A1213" s="230"/>
      <c r="B1213" s="230"/>
      <c r="C1213" s="230"/>
      <c r="D1213" s="230"/>
      <c r="E1213" s="230"/>
      <c r="F1213" s="221"/>
      <c r="G1213" s="222"/>
      <c r="H1213" s="221"/>
      <c r="I1213" s="222"/>
      <c r="J1213" s="230"/>
      <c r="K1213" s="43"/>
      <c r="L1213" s="241"/>
      <c r="M1213" s="43" t="s">
        <v>1285</v>
      </c>
      <c r="N1213" s="14">
        <f>2*160</f>
        <v>320</v>
      </c>
      <c r="O1213" s="35">
        <v>29.6180688094278</v>
      </c>
      <c r="P1213" s="35"/>
      <c r="Q1213" s="35">
        <f>15</f>
        <v>15</v>
      </c>
      <c r="R1213" s="146">
        <f t="shared" si="139"/>
        <v>44.618068809427797</v>
      </c>
      <c r="S1213" s="2">
        <f t="shared" si="141"/>
        <v>0.15155594024941504</v>
      </c>
    </row>
    <row r="1214" spans="1:19" x14ac:dyDescent="0.25">
      <c r="A1214" s="230"/>
      <c r="B1214" s="230"/>
      <c r="C1214" s="230"/>
      <c r="D1214" s="230"/>
      <c r="E1214" s="230"/>
      <c r="F1214" s="221"/>
      <c r="G1214" s="222"/>
      <c r="H1214" s="221"/>
      <c r="I1214" s="222"/>
      <c r="J1214" s="230"/>
      <c r="K1214" s="43"/>
      <c r="L1214" s="241"/>
      <c r="M1214" s="43" t="s">
        <v>1286</v>
      </c>
      <c r="N1214" s="14">
        <v>160</v>
      </c>
      <c r="O1214" s="35">
        <v>48.047089401960598</v>
      </c>
      <c r="P1214" s="35"/>
      <c r="Q1214" s="35"/>
      <c r="R1214" s="146">
        <f t="shared" si="139"/>
        <v>48.047089401960598</v>
      </c>
      <c r="S1214" s="2">
        <f t="shared" si="141"/>
        <v>0.32640685735027575</v>
      </c>
    </row>
    <row r="1215" spans="1:19" x14ac:dyDescent="0.25">
      <c r="A1215" s="230"/>
      <c r="B1215" s="230"/>
      <c r="C1215" s="230"/>
      <c r="D1215" s="230"/>
      <c r="E1215" s="230"/>
      <c r="F1215" s="221"/>
      <c r="G1215" s="222"/>
      <c r="H1215" s="221"/>
      <c r="I1215" s="222"/>
      <c r="J1215" s="230"/>
      <c r="K1215" s="43"/>
      <c r="L1215" s="241"/>
      <c r="M1215" s="43" t="s">
        <v>1287</v>
      </c>
      <c r="N1215" s="14">
        <v>160</v>
      </c>
      <c r="O1215" s="35">
        <v>44.098013560703599</v>
      </c>
      <c r="P1215" s="35"/>
      <c r="Q1215" s="35"/>
      <c r="R1215" s="146">
        <f t="shared" si="139"/>
        <v>44.098013560703599</v>
      </c>
      <c r="S1215" s="2">
        <f t="shared" si="141"/>
        <v>0.29957889647217117</v>
      </c>
    </row>
    <row r="1216" spans="1:19" x14ac:dyDescent="0.25">
      <c r="A1216" s="230"/>
      <c r="B1216" s="230"/>
      <c r="C1216" s="230"/>
      <c r="D1216" s="230"/>
      <c r="E1216" s="230"/>
      <c r="F1216" s="221"/>
      <c r="G1216" s="222"/>
      <c r="H1216" s="221"/>
      <c r="I1216" s="222"/>
      <c r="J1216" s="230"/>
      <c r="K1216" s="43"/>
      <c r="L1216" s="241"/>
      <c r="M1216" s="43" t="s">
        <v>1288</v>
      </c>
      <c r="N1216" s="14">
        <f>2*160</f>
        <v>320</v>
      </c>
      <c r="O1216" s="35">
        <v>70.425185835750497</v>
      </c>
      <c r="P1216" s="35"/>
      <c r="Q1216" s="35"/>
      <c r="R1216" s="146">
        <f t="shared" si="139"/>
        <v>70.425185835750497</v>
      </c>
      <c r="S1216" s="2">
        <f t="shared" si="141"/>
        <v>0.23921598449643508</v>
      </c>
    </row>
    <row r="1217" spans="1:19" x14ac:dyDescent="0.25">
      <c r="A1217" s="230"/>
      <c r="B1217" s="230"/>
      <c r="C1217" s="230"/>
      <c r="D1217" s="230"/>
      <c r="E1217" s="230"/>
      <c r="F1217" s="221"/>
      <c r="G1217" s="222"/>
      <c r="H1217" s="221"/>
      <c r="I1217" s="222"/>
      <c r="J1217" s="230"/>
      <c r="K1217" s="43"/>
      <c r="L1217" s="241"/>
      <c r="M1217" s="43" t="s">
        <v>1327</v>
      </c>
      <c r="N1217" s="14">
        <f>2*250</f>
        <v>500</v>
      </c>
      <c r="O1217" s="35">
        <v>60.552496232608</v>
      </c>
      <c r="P1217" s="35"/>
      <c r="Q1217" s="35"/>
      <c r="R1217" s="146">
        <f t="shared" si="139"/>
        <v>60.552496232608</v>
      </c>
      <c r="S1217" s="2">
        <f t="shared" si="141"/>
        <v>0.13163586137523478</v>
      </c>
    </row>
    <row r="1218" spans="1:19" x14ac:dyDescent="0.25">
      <c r="A1218" s="231"/>
      <c r="B1218" s="230"/>
      <c r="C1218" s="230"/>
      <c r="D1218" s="230"/>
      <c r="E1218" s="230"/>
      <c r="F1218" s="223"/>
      <c r="G1218" s="224"/>
      <c r="H1218" s="221"/>
      <c r="I1218" s="222"/>
      <c r="J1218" s="231"/>
      <c r="K1218" s="43"/>
      <c r="L1218" s="242"/>
      <c r="M1218" s="43" t="s">
        <v>435</v>
      </c>
      <c r="N1218" s="3">
        <f t="shared" ref="N1218:N1219" si="142">2*400</f>
        <v>800</v>
      </c>
      <c r="O1218" s="35">
        <v>7.23997237563791</v>
      </c>
      <c r="P1218" s="35"/>
      <c r="Q1218" s="35"/>
      <c r="R1218" s="146">
        <f t="shared" si="139"/>
        <v>7.23997237563791</v>
      </c>
      <c r="S1218" s="2">
        <f t="shared" si="141"/>
        <v>9.8369189886384645E-3</v>
      </c>
    </row>
    <row r="1219" spans="1:19" x14ac:dyDescent="0.25">
      <c r="A1219" s="229">
        <f>A1207+1</f>
        <v>65</v>
      </c>
      <c r="B1219" s="230"/>
      <c r="C1219" s="230"/>
      <c r="D1219" s="230"/>
      <c r="E1219" s="230"/>
      <c r="F1219" s="219" t="s">
        <v>34</v>
      </c>
      <c r="G1219" s="220"/>
      <c r="H1219" s="221"/>
      <c r="I1219" s="222"/>
      <c r="J1219" s="229"/>
      <c r="K1219" s="43"/>
      <c r="L1219" s="240">
        <f>SUM(S1219:S1235)</f>
        <v>2.2710195361146583</v>
      </c>
      <c r="M1219" s="43" t="s">
        <v>426</v>
      </c>
      <c r="N1219" s="3">
        <f t="shared" si="142"/>
        <v>800</v>
      </c>
      <c r="O1219" s="35">
        <v>100.043254645178</v>
      </c>
      <c r="P1219" s="35"/>
      <c r="Q1219" s="35"/>
      <c r="R1219" s="146">
        <f t="shared" si="139"/>
        <v>100.043254645178</v>
      </c>
      <c r="S1219" s="2">
        <f t="shared" si="141"/>
        <v>0.13592833511573096</v>
      </c>
    </row>
    <row r="1220" spans="1:19" x14ac:dyDescent="0.25">
      <c r="A1220" s="230"/>
      <c r="B1220" s="230"/>
      <c r="C1220" s="230"/>
      <c r="D1220" s="230"/>
      <c r="E1220" s="230"/>
      <c r="F1220" s="221"/>
      <c r="G1220" s="222"/>
      <c r="H1220" s="221"/>
      <c r="I1220" s="222"/>
      <c r="J1220" s="230"/>
      <c r="K1220" s="43"/>
      <c r="L1220" s="241"/>
      <c r="M1220" s="43" t="s">
        <v>441</v>
      </c>
      <c r="N1220" s="14">
        <f>2*630</f>
        <v>1260</v>
      </c>
      <c r="O1220" s="35">
        <v>150.72306127464401</v>
      </c>
      <c r="P1220" s="35"/>
      <c r="Q1220" s="35"/>
      <c r="R1220" s="146">
        <f t="shared" si="139"/>
        <v>150.72306127464401</v>
      </c>
      <c r="S1220" s="2">
        <f t="shared" si="141"/>
        <v>0.13002334478488958</v>
      </c>
    </row>
    <row r="1221" spans="1:19" x14ac:dyDescent="0.25">
      <c r="A1221" s="230"/>
      <c r="B1221" s="230"/>
      <c r="C1221" s="230"/>
      <c r="D1221" s="230"/>
      <c r="E1221" s="230"/>
      <c r="F1221" s="221"/>
      <c r="G1221" s="222"/>
      <c r="H1221" s="221"/>
      <c r="I1221" s="222"/>
      <c r="J1221" s="230"/>
      <c r="K1221" s="43"/>
      <c r="L1221" s="241"/>
      <c r="M1221" s="43" t="s">
        <v>475</v>
      </c>
      <c r="N1221" s="3">
        <f>2*400</f>
        <v>800</v>
      </c>
      <c r="O1221" s="35">
        <v>253.399033147327</v>
      </c>
      <c r="P1221" s="35"/>
      <c r="Q1221" s="35"/>
      <c r="R1221" s="146">
        <f t="shared" si="139"/>
        <v>253.399033147327</v>
      </c>
      <c r="S1221" s="2">
        <f t="shared" si="141"/>
        <v>0.34429216460234646</v>
      </c>
    </row>
    <row r="1222" spans="1:19" x14ac:dyDescent="0.25">
      <c r="A1222" s="230"/>
      <c r="B1222" s="230"/>
      <c r="C1222" s="230"/>
      <c r="D1222" s="230"/>
      <c r="E1222" s="230"/>
      <c r="F1222" s="221"/>
      <c r="G1222" s="222"/>
      <c r="H1222" s="221"/>
      <c r="I1222" s="222"/>
      <c r="J1222" s="230"/>
      <c r="K1222" s="43"/>
      <c r="L1222" s="241"/>
      <c r="M1222" s="43" t="s">
        <v>492</v>
      </c>
      <c r="N1222" s="14">
        <f>2*630</f>
        <v>1260</v>
      </c>
      <c r="O1222" s="35">
        <v>114.523199396454</v>
      </c>
      <c r="P1222" s="35"/>
      <c r="Q1222" s="35"/>
      <c r="R1222" s="146">
        <f t="shared" si="139"/>
        <v>114.523199396454</v>
      </c>
      <c r="S1222" s="2">
        <f t="shared" si="141"/>
        <v>9.8795030535243272E-2</v>
      </c>
    </row>
    <row r="1223" spans="1:19" x14ac:dyDescent="0.25">
      <c r="A1223" s="230"/>
      <c r="B1223" s="230"/>
      <c r="C1223" s="230"/>
      <c r="D1223" s="230"/>
      <c r="E1223" s="230"/>
      <c r="F1223" s="221"/>
      <c r="G1223" s="222"/>
      <c r="H1223" s="221"/>
      <c r="I1223" s="222"/>
      <c r="J1223" s="230"/>
      <c r="K1223" s="43"/>
      <c r="L1223" s="241"/>
      <c r="M1223" s="43" t="s">
        <v>498</v>
      </c>
      <c r="N1223" s="3">
        <f t="shared" ref="N1223:N1226" si="143">2*400</f>
        <v>800</v>
      </c>
      <c r="O1223" s="35">
        <v>126.370426920225</v>
      </c>
      <c r="P1223" s="35"/>
      <c r="Q1223" s="35"/>
      <c r="R1223" s="146">
        <f t="shared" si="139"/>
        <v>126.370426920225</v>
      </c>
      <c r="S1223" s="2">
        <f t="shared" si="141"/>
        <v>0.17169894961987092</v>
      </c>
    </row>
    <row r="1224" spans="1:19" ht="31.5" x14ac:dyDescent="0.25">
      <c r="A1224" s="230"/>
      <c r="B1224" s="230"/>
      <c r="C1224" s="230"/>
      <c r="D1224" s="230"/>
      <c r="E1224" s="230"/>
      <c r="F1224" s="221"/>
      <c r="G1224" s="222"/>
      <c r="H1224" s="221"/>
      <c r="I1224" s="222"/>
      <c r="J1224" s="230"/>
      <c r="K1224" s="43"/>
      <c r="L1224" s="241"/>
      <c r="M1224" s="43" t="s">
        <v>443</v>
      </c>
      <c r="N1224" s="3">
        <f t="shared" si="143"/>
        <v>800</v>
      </c>
      <c r="O1224" s="35">
        <v>71.083365142626704</v>
      </c>
      <c r="P1224" s="35"/>
      <c r="Q1224" s="35"/>
      <c r="R1224" s="146">
        <f t="shared" si="139"/>
        <v>71.083365142626704</v>
      </c>
      <c r="S1224" s="2">
        <f t="shared" si="141"/>
        <v>9.6580659161177584E-2</v>
      </c>
    </row>
    <row r="1225" spans="1:19" x14ac:dyDescent="0.25">
      <c r="A1225" s="230"/>
      <c r="B1225" s="230"/>
      <c r="C1225" s="230"/>
      <c r="D1225" s="230"/>
      <c r="E1225" s="230"/>
      <c r="F1225" s="221"/>
      <c r="G1225" s="222"/>
      <c r="H1225" s="221"/>
      <c r="I1225" s="222"/>
      <c r="J1225" s="230"/>
      <c r="K1225" s="43"/>
      <c r="L1225" s="241"/>
      <c r="M1225" s="43" t="s">
        <v>488</v>
      </c>
      <c r="N1225" s="3">
        <f t="shared" si="143"/>
        <v>800</v>
      </c>
      <c r="O1225" s="35">
        <v>121.104992465216</v>
      </c>
      <c r="P1225" s="35"/>
      <c r="Q1225" s="35"/>
      <c r="R1225" s="146">
        <f t="shared" si="139"/>
        <v>121.104992465216</v>
      </c>
      <c r="S1225" s="2">
        <f t="shared" si="141"/>
        <v>0.16454482671904347</v>
      </c>
    </row>
    <row r="1226" spans="1:19" x14ac:dyDescent="0.25">
      <c r="A1226" s="230"/>
      <c r="B1226" s="230"/>
      <c r="C1226" s="230"/>
      <c r="D1226" s="230"/>
      <c r="E1226" s="230"/>
      <c r="F1226" s="221"/>
      <c r="G1226" s="222"/>
      <c r="H1226" s="221"/>
      <c r="I1226" s="222"/>
      <c r="J1226" s="230"/>
      <c r="K1226" s="43"/>
      <c r="L1226" s="241"/>
      <c r="M1226" s="43" t="s">
        <v>471</v>
      </c>
      <c r="N1226" s="3">
        <f t="shared" si="143"/>
        <v>800</v>
      </c>
      <c r="O1226" s="35">
        <v>133.610399295863</v>
      </c>
      <c r="P1226" s="35"/>
      <c r="Q1226" s="35"/>
      <c r="R1226" s="146">
        <f t="shared" si="139"/>
        <v>133.610399295863</v>
      </c>
      <c r="S1226" s="2">
        <f t="shared" si="141"/>
        <v>0.18153586860850951</v>
      </c>
    </row>
    <row r="1227" spans="1:19" x14ac:dyDescent="0.25">
      <c r="A1227" s="230"/>
      <c r="B1227" s="230"/>
      <c r="C1227" s="230"/>
      <c r="D1227" s="230"/>
      <c r="E1227" s="230"/>
      <c r="F1227" s="221"/>
      <c r="G1227" s="222"/>
      <c r="H1227" s="221"/>
      <c r="I1227" s="222"/>
      <c r="J1227" s="230"/>
      <c r="K1227" s="43"/>
      <c r="L1227" s="241"/>
      <c r="M1227" s="43" t="s">
        <v>446</v>
      </c>
      <c r="N1227" s="14">
        <f>2*630</f>
        <v>1260</v>
      </c>
      <c r="O1227" s="35">
        <v>238.919088396051</v>
      </c>
      <c r="P1227" s="35"/>
      <c r="Q1227" s="35"/>
      <c r="R1227" s="146">
        <f t="shared" si="139"/>
        <v>238.919088396051</v>
      </c>
      <c r="S1227" s="2">
        <f t="shared" si="141"/>
        <v>0.20610687404766304</v>
      </c>
    </row>
    <row r="1228" spans="1:19" x14ac:dyDescent="0.25">
      <c r="A1228" s="230"/>
      <c r="B1228" s="230"/>
      <c r="C1228" s="230"/>
      <c r="D1228" s="230"/>
      <c r="E1228" s="230"/>
      <c r="F1228" s="221"/>
      <c r="G1228" s="222"/>
      <c r="H1228" s="221"/>
      <c r="I1228" s="222"/>
      <c r="J1228" s="230"/>
      <c r="K1228" s="43"/>
      <c r="L1228" s="241"/>
      <c r="M1228" s="43" t="s">
        <v>467</v>
      </c>
      <c r="N1228" s="3">
        <f>2*400</f>
        <v>800</v>
      </c>
      <c r="O1228" s="35">
        <v>7.8981516825140803</v>
      </c>
      <c r="P1228" s="35"/>
      <c r="Q1228" s="35"/>
      <c r="R1228" s="146">
        <f t="shared" si="139"/>
        <v>7.8981516825140803</v>
      </c>
      <c r="S1228" s="2">
        <f t="shared" si="141"/>
        <v>1.0731184351241957E-2</v>
      </c>
    </row>
    <row r="1229" spans="1:19" x14ac:dyDescent="0.25">
      <c r="A1229" s="230"/>
      <c r="B1229" s="230"/>
      <c r="C1229" s="230"/>
      <c r="D1229" s="230"/>
      <c r="E1229" s="230"/>
      <c r="F1229" s="221"/>
      <c r="G1229" s="222"/>
      <c r="H1229" s="221"/>
      <c r="I1229" s="222"/>
      <c r="J1229" s="230"/>
      <c r="K1229" s="43"/>
      <c r="L1229" s="241"/>
      <c r="M1229" s="43" t="s">
        <v>1275</v>
      </c>
      <c r="N1229" s="86">
        <f>2*400</f>
        <v>800</v>
      </c>
      <c r="O1229" s="35">
        <v>7.23997237563791</v>
      </c>
      <c r="P1229" s="35"/>
      <c r="Q1229" s="35"/>
      <c r="R1229" s="146">
        <f t="shared" si="139"/>
        <v>7.23997237563791</v>
      </c>
      <c r="S1229" s="2">
        <f t="shared" si="141"/>
        <v>9.8369189886384645E-3</v>
      </c>
    </row>
    <row r="1230" spans="1:19" x14ac:dyDescent="0.25">
      <c r="A1230" s="230"/>
      <c r="B1230" s="230"/>
      <c r="C1230" s="230"/>
      <c r="D1230" s="230"/>
      <c r="E1230" s="230"/>
      <c r="F1230" s="221"/>
      <c r="G1230" s="222"/>
      <c r="H1230" s="221"/>
      <c r="I1230" s="222"/>
      <c r="J1230" s="230"/>
      <c r="K1230" s="43"/>
      <c r="L1230" s="241"/>
      <c r="M1230" s="43" t="s">
        <v>1240</v>
      </c>
      <c r="N1230" s="1">
        <f t="shared" ref="N1230:N1231" si="144">2*1000</f>
        <v>2000</v>
      </c>
      <c r="O1230" s="35">
        <v>87.537847814531005</v>
      </c>
      <c r="P1230" s="35"/>
      <c r="Q1230" s="35"/>
      <c r="R1230" s="146">
        <f t="shared" si="139"/>
        <v>87.537847814531005</v>
      </c>
      <c r="S1230" s="2">
        <f t="shared" si="141"/>
        <v>4.7574917290505982E-2</v>
      </c>
    </row>
    <row r="1231" spans="1:19" x14ac:dyDescent="0.25">
      <c r="A1231" s="230"/>
      <c r="B1231" s="230"/>
      <c r="C1231" s="230"/>
      <c r="D1231" s="230"/>
      <c r="E1231" s="230"/>
      <c r="F1231" s="221"/>
      <c r="G1231" s="222"/>
      <c r="H1231" s="221"/>
      <c r="I1231" s="222"/>
      <c r="J1231" s="230"/>
      <c r="K1231" s="43"/>
      <c r="L1231" s="241"/>
      <c r="M1231" s="43" t="s">
        <v>1218</v>
      </c>
      <c r="N1231" s="1">
        <f t="shared" si="144"/>
        <v>2000</v>
      </c>
      <c r="O1231" s="35">
        <v>137.55947513711999</v>
      </c>
      <c r="P1231" s="35"/>
      <c r="Q1231" s="35"/>
      <c r="R1231" s="146">
        <f t="shared" si="139"/>
        <v>137.55947513711999</v>
      </c>
      <c r="S1231" s="2">
        <f t="shared" si="141"/>
        <v>7.4760584313652165E-2</v>
      </c>
    </row>
    <row r="1232" spans="1:19" x14ac:dyDescent="0.25">
      <c r="A1232" s="230"/>
      <c r="B1232" s="230"/>
      <c r="C1232" s="230"/>
      <c r="D1232" s="230"/>
      <c r="E1232" s="230"/>
      <c r="F1232" s="221"/>
      <c r="G1232" s="222"/>
      <c r="H1232" s="221"/>
      <c r="I1232" s="222"/>
      <c r="J1232" s="230"/>
      <c r="K1232" s="43"/>
      <c r="L1232" s="241"/>
      <c r="M1232" s="43" t="s">
        <v>453</v>
      </c>
      <c r="N1232" s="3">
        <f>2*400</f>
        <v>800</v>
      </c>
      <c r="O1232" s="35">
        <v>134.92675790961599</v>
      </c>
      <c r="P1232" s="35"/>
      <c r="Q1232" s="35"/>
      <c r="R1232" s="146">
        <f t="shared" si="139"/>
        <v>134.92675790961599</v>
      </c>
      <c r="S1232" s="2">
        <f t="shared" si="141"/>
        <v>0.18332439933371739</v>
      </c>
    </row>
    <row r="1233" spans="1:19" x14ac:dyDescent="0.25">
      <c r="A1233" s="230"/>
      <c r="B1233" s="230"/>
      <c r="C1233" s="230"/>
      <c r="D1233" s="230"/>
      <c r="E1233" s="230"/>
      <c r="F1233" s="221"/>
      <c r="G1233" s="222"/>
      <c r="H1233" s="221"/>
      <c r="I1233" s="222"/>
      <c r="J1233" s="230"/>
      <c r="K1233" s="43"/>
      <c r="L1233" s="241"/>
      <c r="M1233" s="43" t="s">
        <v>427</v>
      </c>
      <c r="N1233" s="3">
        <f>2*250</f>
        <v>500</v>
      </c>
      <c r="O1233" s="35">
        <v>84.246951280150199</v>
      </c>
      <c r="P1233" s="35"/>
      <c r="Q1233" s="35"/>
      <c r="R1233" s="146">
        <f t="shared" si="139"/>
        <v>84.246951280150199</v>
      </c>
      <c r="S1233" s="2">
        <f t="shared" si="141"/>
        <v>0.18314554626119608</v>
      </c>
    </row>
    <row r="1234" spans="1:19" x14ac:dyDescent="0.25">
      <c r="A1234" s="230"/>
      <c r="B1234" s="230"/>
      <c r="C1234" s="230"/>
      <c r="D1234" s="230"/>
      <c r="E1234" s="230"/>
      <c r="F1234" s="221"/>
      <c r="G1234" s="222"/>
      <c r="H1234" s="221"/>
      <c r="I1234" s="222"/>
      <c r="J1234" s="230"/>
      <c r="K1234" s="43"/>
      <c r="L1234" s="241"/>
      <c r="M1234" s="43" t="s">
        <v>428</v>
      </c>
      <c r="N1234" s="14">
        <f>2*630</f>
        <v>1260</v>
      </c>
      <c r="O1234" s="35">
        <v>188.239281766586</v>
      </c>
      <c r="P1234" s="35"/>
      <c r="Q1234" s="35"/>
      <c r="R1234" s="146">
        <f t="shared" si="139"/>
        <v>188.239281766586</v>
      </c>
      <c r="S1234" s="2">
        <f t="shared" si="141"/>
        <v>0.16238723409815908</v>
      </c>
    </row>
    <row r="1235" spans="1:19" x14ac:dyDescent="0.25">
      <c r="A1235" s="231"/>
      <c r="B1235" s="230"/>
      <c r="C1235" s="230"/>
      <c r="D1235" s="230"/>
      <c r="E1235" s="230"/>
      <c r="F1235" s="223"/>
      <c r="G1235" s="224"/>
      <c r="H1235" s="221"/>
      <c r="I1235" s="222"/>
      <c r="J1235" s="231"/>
      <c r="K1235" s="43"/>
      <c r="L1235" s="242"/>
      <c r="M1235" s="43" t="s">
        <v>429</v>
      </c>
      <c r="N1235" s="3">
        <f>2*400</f>
        <v>800</v>
      </c>
      <c r="O1235" s="35">
        <v>51.337985936341497</v>
      </c>
      <c r="P1235" s="35"/>
      <c r="Q1235" s="35"/>
      <c r="R1235" s="146">
        <f t="shared" si="139"/>
        <v>51.337985936341497</v>
      </c>
      <c r="S1235" s="2">
        <f t="shared" si="141"/>
        <v>6.9752698283072692E-2</v>
      </c>
    </row>
    <row r="1236" spans="1:19" x14ac:dyDescent="0.25">
      <c r="A1236" s="272">
        <f>A1219+1</f>
        <v>66</v>
      </c>
      <c r="B1236" s="230"/>
      <c r="C1236" s="230"/>
      <c r="D1236" s="230"/>
      <c r="E1236" s="230"/>
      <c r="F1236" s="219" t="s">
        <v>35</v>
      </c>
      <c r="G1236" s="220"/>
      <c r="H1236" s="221"/>
      <c r="I1236" s="222"/>
      <c r="J1236" s="229"/>
      <c r="K1236" s="43"/>
      <c r="L1236" s="240">
        <f>SUM(S1236:S1243)</f>
        <v>1.2104264939422296</v>
      </c>
      <c r="M1236" s="43" t="s">
        <v>430</v>
      </c>
      <c r="N1236" s="14">
        <f t="shared" ref="N1236:N1239" si="145">2*630</f>
        <v>1260</v>
      </c>
      <c r="O1236" s="35">
        <v>132.29404068211099</v>
      </c>
      <c r="P1236" s="35"/>
      <c r="Q1236" s="35"/>
      <c r="R1236" s="146">
        <f t="shared" si="139"/>
        <v>132.29404068211099</v>
      </c>
      <c r="S1236" s="2">
        <f t="shared" si="141"/>
        <v>0.11412529389416061</v>
      </c>
    </row>
    <row r="1237" spans="1:19" x14ac:dyDescent="0.25">
      <c r="A1237" s="273"/>
      <c r="B1237" s="230"/>
      <c r="C1237" s="230"/>
      <c r="D1237" s="230"/>
      <c r="E1237" s="230"/>
      <c r="F1237" s="221"/>
      <c r="G1237" s="222"/>
      <c r="H1237" s="221"/>
      <c r="I1237" s="222"/>
      <c r="J1237" s="230"/>
      <c r="K1237" s="43"/>
      <c r="L1237" s="241"/>
      <c r="M1237" s="43" t="s">
        <v>431</v>
      </c>
      <c r="N1237" s="14">
        <f t="shared" si="145"/>
        <v>1260</v>
      </c>
      <c r="O1237" s="35">
        <v>142.16673028525301</v>
      </c>
      <c r="P1237" s="35"/>
      <c r="Q1237" s="35"/>
      <c r="R1237" s="146">
        <f t="shared" si="139"/>
        <v>142.16673028525301</v>
      </c>
      <c r="S1237" s="2">
        <f t="shared" si="141"/>
        <v>0.12264210687133627</v>
      </c>
    </row>
    <row r="1238" spans="1:19" x14ac:dyDescent="0.25">
      <c r="A1238" s="273"/>
      <c r="B1238" s="230"/>
      <c r="C1238" s="230"/>
      <c r="D1238" s="230"/>
      <c r="E1238" s="230"/>
      <c r="F1238" s="221"/>
      <c r="G1238" s="222"/>
      <c r="H1238" s="221"/>
      <c r="I1238" s="222"/>
      <c r="J1238" s="230"/>
      <c r="K1238" s="43"/>
      <c r="L1238" s="241"/>
      <c r="M1238" s="43" t="s">
        <v>495</v>
      </c>
      <c r="N1238" s="14">
        <f t="shared" si="145"/>
        <v>1260</v>
      </c>
      <c r="O1238" s="35">
        <v>96.094178803921295</v>
      </c>
      <c r="P1238" s="35"/>
      <c r="Q1238" s="35"/>
      <c r="R1238" s="146">
        <f t="shared" si="139"/>
        <v>96.094178803921295</v>
      </c>
      <c r="S1238" s="2">
        <f t="shared" si="141"/>
        <v>8.2896979644514576E-2</v>
      </c>
    </row>
    <row r="1239" spans="1:19" x14ac:dyDescent="0.25">
      <c r="A1239" s="273"/>
      <c r="B1239" s="230"/>
      <c r="C1239" s="230"/>
      <c r="D1239" s="230"/>
      <c r="E1239" s="230"/>
      <c r="F1239" s="221"/>
      <c r="G1239" s="222"/>
      <c r="H1239" s="221"/>
      <c r="I1239" s="222"/>
      <c r="J1239" s="230"/>
      <c r="K1239" s="43"/>
      <c r="L1239" s="241"/>
      <c r="M1239" s="43" t="s">
        <v>479</v>
      </c>
      <c r="N1239" s="14">
        <f t="shared" si="145"/>
        <v>1260</v>
      </c>
      <c r="O1239" s="35">
        <v>61.8688548463603</v>
      </c>
      <c r="P1239" s="35"/>
      <c r="Q1239" s="35"/>
      <c r="R1239" s="146">
        <f t="shared" si="139"/>
        <v>61.8688548463603</v>
      </c>
      <c r="S1239" s="2">
        <f t="shared" si="141"/>
        <v>5.3372027990303918E-2</v>
      </c>
    </row>
    <row r="1240" spans="1:19" x14ac:dyDescent="0.25">
      <c r="A1240" s="273"/>
      <c r="B1240" s="230"/>
      <c r="C1240" s="230"/>
      <c r="D1240" s="230"/>
      <c r="E1240" s="230"/>
      <c r="F1240" s="221"/>
      <c r="G1240" s="222"/>
      <c r="H1240" s="221"/>
      <c r="I1240" s="222"/>
      <c r="J1240" s="230"/>
      <c r="K1240" s="43"/>
      <c r="L1240" s="241"/>
      <c r="M1240" s="43" t="s">
        <v>466</v>
      </c>
      <c r="N1240" s="3">
        <f>2*400</f>
        <v>800</v>
      </c>
      <c r="O1240" s="35">
        <v>128.344964840854</v>
      </c>
      <c r="P1240" s="35"/>
      <c r="Q1240" s="35"/>
      <c r="R1240" s="146">
        <f t="shared" si="139"/>
        <v>128.344964840854</v>
      </c>
      <c r="S1240" s="2">
        <f t="shared" si="141"/>
        <v>0.17438174570768208</v>
      </c>
    </row>
    <row r="1241" spans="1:19" x14ac:dyDescent="0.25">
      <c r="A1241" s="273"/>
      <c r="B1241" s="230"/>
      <c r="C1241" s="230"/>
      <c r="D1241" s="230"/>
      <c r="E1241" s="230"/>
      <c r="F1241" s="221"/>
      <c r="G1241" s="222"/>
      <c r="H1241" s="221"/>
      <c r="I1241" s="222"/>
      <c r="J1241" s="230"/>
      <c r="K1241" s="43"/>
      <c r="L1241" s="241"/>
      <c r="M1241" s="43" t="s">
        <v>1277</v>
      </c>
      <c r="N1241" s="14">
        <v>250</v>
      </c>
      <c r="O1241" s="35">
        <v>73.716082370131403</v>
      </c>
      <c r="P1241" s="35"/>
      <c r="Q1241" s="35"/>
      <c r="R1241" s="146">
        <f t="shared" si="139"/>
        <v>73.716082370131403</v>
      </c>
      <c r="S1241" s="2">
        <f t="shared" si="141"/>
        <v>0.32050470595709307</v>
      </c>
    </row>
    <row r="1242" spans="1:19" x14ac:dyDescent="0.25">
      <c r="A1242" s="273"/>
      <c r="B1242" s="230"/>
      <c r="C1242" s="230"/>
      <c r="D1242" s="230"/>
      <c r="E1242" s="230"/>
      <c r="F1242" s="221"/>
      <c r="G1242" s="222"/>
      <c r="H1242" s="221"/>
      <c r="I1242" s="222"/>
      <c r="J1242" s="230"/>
      <c r="K1242" s="43"/>
      <c r="L1242" s="241"/>
      <c r="M1242" s="43" t="s">
        <v>448</v>
      </c>
      <c r="N1242" s="3">
        <f t="shared" ref="N1242:N1243" si="146">2*400</f>
        <v>800</v>
      </c>
      <c r="O1242" s="35">
        <v>88.196027121407198</v>
      </c>
      <c r="P1242" s="35"/>
      <c r="Q1242" s="35"/>
      <c r="R1242" s="146">
        <f t="shared" si="139"/>
        <v>88.196027121407198</v>
      </c>
      <c r="S1242" s="2">
        <f t="shared" si="141"/>
        <v>0.11983155858886847</v>
      </c>
    </row>
    <row r="1243" spans="1:19" x14ac:dyDescent="0.25">
      <c r="A1243" s="274"/>
      <c r="B1243" s="231"/>
      <c r="C1243" s="231"/>
      <c r="D1243" s="231"/>
      <c r="E1243" s="231"/>
      <c r="F1243" s="223"/>
      <c r="G1243" s="224"/>
      <c r="H1243" s="223"/>
      <c r="I1243" s="224"/>
      <c r="J1243" s="231"/>
      <c r="K1243" s="43"/>
      <c r="L1243" s="242"/>
      <c r="M1243" s="43" t="s">
        <v>438</v>
      </c>
      <c r="N1243" s="3">
        <f t="shared" si="146"/>
        <v>800</v>
      </c>
      <c r="O1243" s="35">
        <v>163.88664741216701</v>
      </c>
      <c r="P1243" s="35"/>
      <c r="Q1243" s="35"/>
      <c r="R1243" s="146">
        <f t="shared" si="139"/>
        <v>163.88664741216701</v>
      </c>
      <c r="S1243" s="2">
        <f t="shared" si="141"/>
        <v>0.2226720752882704</v>
      </c>
    </row>
    <row r="1244" spans="1:19" ht="15.75" hidden="1" customHeight="1" thickBot="1" x14ac:dyDescent="0.3">
      <c r="A1244" s="42"/>
      <c r="B1244" s="276" t="s">
        <v>105</v>
      </c>
      <c r="C1244" s="276"/>
      <c r="D1244" s="276"/>
      <c r="E1244" s="276"/>
      <c r="F1244" s="276"/>
      <c r="G1244" s="276"/>
      <c r="H1244" s="276"/>
      <c r="I1244" s="276"/>
      <c r="J1244" s="153"/>
      <c r="K1244" s="153"/>
      <c r="L1244" s="153">
        <f>SUM(L1059:L1236)</f>
        <v>47.134370274729918</v>
      </c>
      <c r="M1244" s="153"/>
      <c r="N1244" s="154"/>
      <c r="O1244" s="155"/>
      <c r="P1244" s="155"/>
      <c r="Q1244" s="155"/>
      <c r="R1244" s="156">
        <f t="shared" si="139"/>
        <v>0</v>
      </c>
      <c r="S1244" s="155"/>
    </row>
    <row r="1245" spans="1:19" ht="15.75" customHeight="1" x14ac:dyDescent="0.25">
      <c r="A1245" s="277">
        <f>A1236+1</f>
        <v>67</v>
      </c>
      <c r="B1245" s="228" t="s">
        <v>5</v>
      </c>
      <c r="C1245" s="228" t="s">
        <v>6</v>
      </c>
      <c r="D1245" s="228" t="s">
        <v>5</v>
      </c>
      <c r="E1245" s="228"/>
      <c r="F1245" s="228" t="s">
        <v>7</v>
      </c>
      <c r="G1245" s="228"/>
      <c r="H1245" s="228" t="s">
        <v>709</v>
      </c>
      <c r="I1245" s="228"/>
      <c r="J1245" s="228"/>
      <c r="K1245" s="43"/>
      <c r="L1245" s="278">
        <f>SUM(S1245:S1250)</f>
        <v>1.730420440884801</v>
      </c>
      <c r="M1245" s="43" t="s">
        <v>1328</v>
      </c>
      <c r="N1245" s="14">
        <v>160</v>
      </c>
      <c r="O1245" s="35">
        <v>17.770841285656701</v>
      </c>
      <c r="P1245" s="35"/>
      <c r="Q1245" s="35"/>
      <c r="R1245" s="146">
        <f t="shared" si="139"/>
        <v>17.770841285656701</v>
      </c>
      <c r="S1245" s="2">
        <f t="shared" ref="S1245:S1250" si="147">R1245/(N1245*0.92)</f>
        <v>0.12072582395147213</v>
      </c>
    </row>
    <row r="1246" spans="1:19" x14ac:dyDescent="0.25">
      <c r="A1246" s="277"/>
      <c r="B1246" s="228"/>
      <c r="C1246" s="228"/>
      <c r="D1246" s="228"/>
      <c r="E1246" s="228"/>
      <c r="F1246" s="228"/>
      <c r="G1246" s="228"/>
      <c r="H1246" s="228"/>
      <c r="I1246" s="228"/>
      <c r="J1246" s="228"/>
      <c r="K1246" s="43"/>
      <c r="L1246" s="228"/>
      <c r="M1246" s="43" t="s">
        <v>1329</v>
      </c>
      <c r="N1246" s="14">
        <v>160</v>
      </c>
      <c r="O1246" s="35">
        <v>47.388910095084498</v>
      </c>
      <c r="P1246" s="35"/>
      <c r="Q1246" s="35"/>
      <c r="R1246" s="146">
        <f t="shared" si="139"/>
        <v>47.388910095084498</v>
      </c>
      <c r="S1246" s="2">
        <f t="shared" si="147"/>
        <v>0.32193553053725876</v>
      </c>
    </row>
    <row r="1247" spans="1:19" x14ac:dyDescent="0.25">
      <c r="A1247" s="277"/>
      <c r="B1247" s="228"/>
      <c r="C1247" s="228"/>
      <c r="D1247" s="228"/>
      <c r="E1247" s="228"/>
      <c r="F1247" s="228"/>
      <c r="G1247" s="228"/>
      <c r="H1247" s="228"/>
      <c r="I1247" s="228"/>
      <c r="J1247" s="228"/>
      <c r="K1247" s="43"/>
      <c r="L1247" s="228"/>
      <c r="M1247" s="43" t="s">
        <v>1330</v>
      </c>
      <c r="N1247" s="14">
        <v>100</v>
      </c>
      <c r="O1247" s="35">
        <v>25.010813661294598</v>
      </c>
      <c r="P1247" s="35"/>
      <c r="Q1247" s="35"/>
      <c r="R1247" s="146">
        <f t="shared" si="139"/>
        <v>25.010813661294598</v>
      </c>
      <c r="S1247" s="2">
        <f t="shared" si="147"/>
        <v>0.27185667023146304</v>
      </c>
    </row>
    <row r="1248" spans="1:19" x14ac:dyDescent="0.25">
      <c r="A1248" s="277"/>
      <c r="B1248" s="228"/>
      <c r="C1248" s="228"/>
      <c r="D1248" s="228"/>
      <c r="E1248" s="228"/>
      <c r="F1248" s="228"/>
      <c r="G1248" s="228"/>
      <c r="H1248" s="228"/>
      <c r="I1248" s="228"/>
      <c r="J1248" s="228"/>
      <c r="K1248" s="43"/>
      <c r="L1248" s="228"/>
      <c r="M1248" s="43" t="s">
        <v>1331</v>
      </c>
      <c r="N1248" s="14">
        <v>100</v>
      </c>
      <c r="O1248" s="35">
        <v>56.603420391350902</v>
      </c>
      <c r="P1248" s="35"/>
      <c r="Q1248" s="35"/>
      <c r="R1248" s="146">
        <f t="shared" ref="R1248:R1250" si="148">O1248+P1248+Q1248</f>
        <v>56.603420391350902</v>
      </c>
      <c r="S1248" s="2">
        <f t="shared" si="147"/>
        <v>0.61525456947120549</v>
      </c>
    </row>
    <row r="1249" spans="1:19" x14ac:dyDescent="0.25">
      <c r="A1249" s="277"/>
      <c r="B1249" s="228"/>
      <c r="C1249" s="228"/>
      <c r="D1249" s="228"/>
      <c r="E1249" s="228"/>
      <c r="F1249" s="228"/>
      <c r="G1249" s="228"/>
      <c r="H1249" s="228"/>
      <c r="I1249" s="228"/>
      <c r="J1249" s="228"/>
      <c r="K1249" s="43"/>
      <c r="L1249" s="228"/>
      <c r="M1249" s="43" t="s">
        <v>1332</v>
      </c>
      <c r="N1249" s="14">
        <v>250</v>
      </c>
      <c r="O1249" s="35">
        <v>60.552496232608</v>
      </c>
      <c r="P1249" s="35"/>
      <c r="Q1249" s="35">
        <f>10</f>
        <v>10</v>
      </c>
      <c r="R1249" s="146">
        <f t="shared" si="148"/>
        <v>70.552496232608007</v>
      </c>
      <c r="S1249" s="2">
        <f t="shared" si="147"/>
        <v>0.30674998362003481</v>
      </c>
    </row>
    <row r="1250" spans="1:19" ht="16.5" thickBot="1" x14ac:dyDescent="0.3">
      <c r="A1250" s="277"/>
      <c r="B1250" s="228"/>
      <c r="C1250" s="228"/>
      <c r="D1250" s="228"/>
      <c r="E1250" s="228"/>
      <c r="F1250" s="228"/>
      <c r="G1250" s="228"/>
      <c r="H1250" s="228"/>
      <c r="I1250" s="228"/>
      <c r="J1250" s="228"/>
      <c r="K1250" s="43"/>
      <c r="L1250" s="228"/>
      <c r="M1250" s="43" t="s">
        <v>1333</v>
      </c>
      <c r="N1250" s="14">
        <v>160</v>
      </c>
      <c r="O1250" s="35">
        <v>13.821765444399601</v>
      </c>
      <c r="P1250" s="35"/>
      <c r="Q1250" s="35"/>
      <c r="R1250" s="146">
        <f t="shared" si="148"/>
        <v>13.821765444399601</v>
      </c>
      <c r="S1250" s="2">
        <f t="shared" si="147"/>
        <v>9.3897863073366838E-2</v>
      </c>
    </row>
    <row r="1251" spans="1:19" ht="16.5" hidden="1" thickBot="1" x14ac:dyDescent="0.3">
      <c r="A1251" s="164" t="s">
        <v>1335</v>
      </c>
      <c r="B1251" s="165"/>
      <c r="C1251" s="165"/>
      <c r="D1251" s="165"/>
      <c r="E1251" s="165"/>
      <c r="F1251" s="165"/>
      <c r="G1251" s="165"/>
      <c r="H1251" s="165"/>
      <c r="I1251" s="165"/>
      <c r="J1251" s="165"/>
      <c r="K1251" s="165"/>
      <c r="L1251" s="257"/>
      <c r="M1251" s="165"/>
      <c r="N1251" s="165"/>
      <c r="O1251" s="165"/>
      <c r="P1251" s="167"/>
      <c r="Q1251" s="167"/>
      <c r="R1251" s="167"/>
      <c r="S1251" s="168"/>
    </row>
    <row r="1252" spans="1:19" ht="15.75" customHeight="1" x14ac:dyDescent="0.25">
      <c r="A1252" s="214">
        <f>A1253+1</f>
        <v>1</v>
      </c>
      <c r="B1252" s="215" t="s">
        <v>60</v>
      </c>
      <c r="C1252" s="215" t="s">
        <v>1336</v>
      </c>
      <c r="D1252" s="215" t="s">
        <v>555</v>
      </c>
      <c r="E1252" s="215" t="s">
        <v>58</v>
      </c>
      <c r="F1252" s="178" t="s">
        <v>1337</v>
      </c>
      <c r="G1252" s="178"/>
      <c r="H1252" s="216" t="s">
        <v>709</v>
      </c>
      <c r="I1252" s="217"/>
      <c r="J1252" s="218"/>
      <c r="K1252" s="95">
        <v>0</v>
      </c>
      <c r="L1252" s="91">
        <v>2.085</v>
      </c>
      <c r="M1252" s="83" t="s">
        <v>1338</v>
      </c>
      <c r="N1252" s="55">
        <f>2*250</f>
        <v>500</v>
      </c>
      <c r="O1252" s="56">
        <v>328</v>
      </c>
      <c r="P1252" s="123"/>
      <c r="Q1252" s="123"/>
      <c r="R1252" s="147">
        <f>O1252+P1252+Q1252</f>
        <v>328</v>
      </c>
      <c r="S1252" s="2">
        <f t="shared" ref="S1252:S1257" si="149">R1252/(N1252*0.92)</f>
        <v>0.71304347826086956</v>
      </c>
    </row>
    <row r="1253" spans="1:19" ht="15.75" customHeight="1" x14ac:dyDescent="0.25">
      <c r="A1253" s="201"/>
      <c r="B1253" s="182"/>
      <c r="C1253" s="182"/>
      <c r="D1253" s="182"/>
      <c r="E1253" s="182"/>
      <c r="F1253" s="169" t="s">
        <v>1339</v>
      </c>
      <c r="G1253" s="169"/>
      <c r="H1253" s="172"/>
      <c r="I1253" s="173"/>
      <c r="J1253" s="209"/>
      <c r="K1253" s="88">
        <v>0</v>
      </c>
      <c r="L1253" s="91">
        <v>2.532</v>
      </c>
      <c r="M1253" s="84" t="s">
        <v>1338</v>
      </c>
      <c r="N1253" s="91">
        <f>2*250</f>
        <v>500</v>
      </c>
      <c r="O1253" s="57">
        <v>156</v>
      </c>
      <c r="P1253" s="124"/>
      <c r="Q1253" s="124"/>
      <c r="R1253" s="147">
        <f t="shared" ref="R1253:R1316" si="150">O1253+P1253+Q1253</f>
        <v>156</v>
      </c>
      <c r="S1253" s="2">
        <f t="shared" si="149"/>
        <v>0.33913043478260868</v>
      </c>
    </row>
    <row r="1254" spans="1:19" ht="15.75" customHeight="1" x14ac:dyDescent="0.25">
      <c r="A1254" s="201"/>
      <c r="B1254" s="182"/>
      <c r="C1254" s="182"/>
      <c r="D1254" s="182"/>
      <c r="E1254" s="182"/>
      <c r="F1254" s="170" t="s">
        <v>1340</v>
      </c>
      <c r="G1254" s="171"/>
      <c r="H1254" s="172"/>
      <c r="I1254" s="173"/>
      <c r="J1254" s="209"/>
      <c r="K1254" s="181"/>
      <c r="L1254" s="212">
        <v>0.57299999999999995</v>
      </c>
      <c r="M1254" s="71" t="s">
        <v>1341</v>
      </c>
      <c r="N1254" s="91">
        <v>1000</v>
      </c>
      <c r="O1254" s="91">
        <v>128.6</v>
      </c>
      <c r="P1254" s="122"/>
      <c r="Q1254" s="122"/>
      <c r="R1254" s="147">
        <f t="shared" si="150"/>
        <v>128.6</v>
      </c>
      <c r="S1254" s="2">
        <f t="shared" si="149"/>
        <v>0.13978260869565218</v>
      </c>
    </row>
    <row r="1255" spans="1:19" ht="15.75" customHeight="1" x14ac:dyDescent="0.25">
      <c r="A1255" s="201"/>
      <c r="B1255" s="182"/>
      <c r="C1255" s="182"/>
      <c r="D1255" s="182"/>
      <c r="E1255" s="182"/>
      <c r="F1255" s="172"/>
      <c r="G1255" s="173"/>
      <c r="H1255" s="172"/>
      <c r="I1255" s="173"/>
      <c r="J1255" s="209"/>
      <c r="K1255" s="182"/>
      <c r="L1255" s="212"/>
      <c r="M1255" s="71" t="s">
        <v>1342</v>
      </c>
      <c r="N1255" s="91">
        <v>400</v>
      </c>
      <c r="O1255" s="91">
        <v>376</v>
      </c>
      <c r="P1255" s="122"/>
      <c r="Q1255" s="122">
        <f>15+3</f>
        <v>18</v>
      </c>
      <c r="R1255" s="147">
        <f t="shared" si="150"/>
        <v>394</v>
      </c>
      <c r="S1255" s="2">
        <f t="shared" si="149"/>
        <v>1.0706521739130435</v>
      </c>
    </row>
    <row r="1256" spans="1:19" ht="15.75" customHeight="1" x14ac:dyDescent="0.25">
      <c r="A1256" s="201"/>
      <c r="B1256" s="182"/>
      <c r="C1256" s="182"/>
      <c r="D1256" s="182"/>
      <c r="E1256" s="182"/>
      <c r="F1256" s="172"/>
      <c r="G1256" s="173"/>
      <c r="H1256" s="172"/>
      <c r="I1256" s="173"/>
      <c r="J1256" s="209"/>
      <c r="K1256" s="182"/>
      <c r="L1256" s="212"/>
      <c r="M1256" s="71" t="s">
        <v>1343</v>
      </c>
      <c r="N1256" s="91">
        <v>630</v>
      </c>
      <c r="O1256" s="91">
        <v>134.19999999999999</v>
      </c>
      <c r="P1256" s="122"/>
      <c r="Q1256" s="122"/>
      <c r="R1256" s="147">
        <f t="shared" si="150"/>
        <v>134.19999999999999</v>
      </c>
      <c r="S1256" s="2">
        <f t="shared" si="149"/>
        <v>0.2315389924085576</v>
      </c>
    </row>
    <row r="1257" spans="1:19" ht="15.75" customHeight="1" x14ac:dyDescent="0.25">
      <c r="A1257" s="201"/>
      <c r="B1257" s="182"/>
      <c r="C1257" s="182"/>
      <c r="D1257" s="182"/>
      <c r="E1257" s="182"/>
      <c r="F1257" s="172"/>
      <c r="G1257" s="173"/>
      <c r="H1257" s="172"/>
      <c r="I1257" s="173"/>
      <c r="J1257" s="209"/>
      <c r="K1257" s="182"/>
      <c r="L1257" s="212"/>
      <c r="M1257" s="71" t="s">
        <v>1344</v>
      </c>
      <c r="N1257" s="91">
        <v>630</v>
      </c>
      <c r="O1257" s="47">
        <v>164.4</v>
      </c>
      <c r="P1257" s="125"/>
      <c r="Q1257" s="125">
        <f>15</f>
        <v>15</v>
      </c>
      <c r="R1257" s="147">
        <f t="shared" si="150"/>
        <v>179.4</v>
      </c>
      <c r="S1257" s="2">
        <f t="shared" si="149"/>
        <v>0.30952380952380953</v>
      </c>
    </row>
    <row r="1258" spans="1:19" ht="15.75" hidden="1" customHeight="1" x14ac:dyDescent="0.25">
      <c r="A1258" s="201"/>
      <c r="B1258" s="182"/>
      <c r="C1258" s="182"/>
      <c r="D1258" s="182"/>
      <c r="E1258" s="182"/>
      <c r="F1258" s="172"/>
      <c r="G1258" s="173"/>
      <c r="H1258" s="172"/>
      <c r="I1258" s="173"/>
      <c r="J1258" s="209"/>
      <c r="K1258" s="182"/>
      <c r="L1258" s="212"/>
      <c r="M1258" s="71" t="s">
        <v>1346</v>
      </c>
      <c r="N1258" s="91" t="s">
        <v>1347</v>
      </c>
      <c r="O1258" s="58" t="s">
        <v>1348</v>
      </c>
      <c r="P1258" s="126"/>
      <c r="Q1258" s="126"/>
      <c r="R1258" s="147">
        <f t="shared" si="150"/>
        <v>0</v>
      </c>
      <c r="S1258" s="59"/>
    </row>
    <row r="1259" spans="1:19" x14ac:dyDescent="0.25">
      <c r="A1259" s="201"/>
      <c r="B1259" s="182"/>
      <c r="C1259" s="182"/>
      <c r="D1259" s="182"/>
      <c r="E1259" s="182"/>
      <c r="F1259" s="172"/>
      <c r="G1259" s="173"/>
      <c r="H1259" s="172"/>
      <c r="I1259" s="173"/>
      <c r="J1259" s="209"/>
      <c r="K1259" s="182"/>
      <c r="L1259" s="212"/>
      <c r="M1259" s="71" t="s">
        <v>1349</v>
      </c>
      <c r="N1259" s="91">
        <v>100</v>
      </c>
      <c r="O1259" s="47">
        <v>4.4000000000000004</v>
      </c>
      <c r="P1259" s="125"/>
      <c r="Q1259" s="125">
        <f>15</f>
        <v>15</v>
      </c>
      <c r="R1259" s="147">
        <f t="shared" si="150"/>
        <v>19.399999999999999</v>
      </c>
      <c r="S1259" s="2">
        <f t="shared" ref="S1259:S1322" si="151">R1259/(N1259*0.92)</f>
        <v>0.21086956521739128</v>
      </c>
    </row>
    <row r="1260" spans="1:19" x14ac:dyDescent="0.25">
      <c r="A1260" s="201"/>
      <c r="B1260" s="182"/>
      <c r="C1260" s="182"/>
      <c r="D1260" s="182"/>
      <c r="E1260" s="182"/>
      <c r="F1260" s="172"/>
      <c r="G1260" s="173"/>
      <c r="H1260" s="172"/>
      <c r="I1260" s="173"/>
      <c r="J1260" s="209"/>
      <c r="K1260" s="182"/>
      <c r="L1260" s="212"/>
      <c r="M1260" s="71" t="s">
        <v>1350</v>
      </c>
      <c r="N1260" s="91">
        <v>160</v>
      </c>
      <c r="O1260" s="47">
        <v>2</v>
      </c>
      <c r="P1260" s="125"/>
      <c r="Q1260" s="125"/>
      <c r="R1260" s="147">
        <f t="shared" si="150"/>
        <v>2</v>
      </c>
      <c r="S1260" s="2">
        <f t="shared" si="151"/>
        <v>1.3586956521739128E-2</v>
      </c>
    </row>
    <row r="1261" spans="1:19" x14ac:dyDescent="0.25">
      <c r="A1261" s="201"/>
      <c r="B1261" s="182"/>
      <c r="C1261" s="182"/>
      <c r="D1261" s="182"/>
      <c r="E1261" s="182"/>
      <c r="F1261" s="172"/>
      <c r="G1261" s="173"/>
      <c r="H1261" s="172"/>
      <c r="I1261" s="173"/>
      <c r="J1261" s="209"/>
      <c r="K1261" s="182"/>
      <c r="L1261" s="212"/>
      <c r="M1261" s="71" t="s">
        <v>1351</v>
      </c>
      <c r="N1261" s="91">
        <v>63</v>
      </c>
      <c r="O1261" s="58">
        <v>9</v>
      </c>
      <c r="P1261" s="126"/>
      <c r="Q1261" s="126"/>
      <c r="R1261" s="147">
        <f t="shared" si="150"/>
        <v>9</v>
      </c>
      <c r="S1261" s="2">
        <f t="shared" si="151"/>
        <v>0.15527950310559005</v>
      </c>
    </row>
    <row r="1262" spans="1:19" x14ac:dyDescent="0.25">
      <c r="A1262" s="201"/>
      <c r="B1262" s="182"/>
      <c r="C1262" s="182"/>
      <c r="D1262" s="182"/>
      <c r="E1262" s="182"/>
      <c r="F1262" s="174"/>
      <c r="G1262" s="175"/>
      <c r="H1262" s="172"/>
      <c r="I1262" s="173"/>
      <c r="J1262" s="209"/>
      <c r="K1262" s="183"/>
      <c r="L1262" s="212"/>
      <c r="M1262" s="71" t="s">
        <v>1352</v>
      </c>
      <c r="N1262" s="91">
        <v>100</v>
      </c>
      <c r="O1262" s="60">
        <v>13</v>
      </c>
      <c r="P1262" s="127"/>
      <c r="Q1262" s="118">
        <v>30</v>
      </c>
      <c r="R1262" s="147">
        <f t="shared" si="150"/>
        <v>43</v>
      </c>
      <c r="S1262" s="2">
        <f t="shared" si="151"/>
        <v>0.46739130434782611</v>
      </c>
    </row>
    <row r="1263" spans="1:19" x14ac:dyDescent="0.25">
      <c r="A1263" s="201"/>
      <c r="B1263" s="182"/>
      <c r="C1263" s="182"/>
      <c r="D1263" s="182"/>
      <c r="E1263" s="182"/>
      <c r="F1263" s="170" t="s">
        <v>1353</v>
      </c>
      <c r="G1263" s="171"/>
      <c r="H1263" s="172"/>
      <c r="I1263" s="173"/>
      <c r="J1263" s="209"/>
      <c r="K1263" s="181"/>
      <c r="L1263" s="212">
        <v>0.86</v>
      </c>
      <c r="M1263" s="71" t="s">
        <v>1354</v>
      </c>
      <c r="N1263" s="160">
        <v>630</v>
      </c>
      <c r="O1263" s="91">
        <v>201.6</v>
      </c>
      <c r="P1263" s="122"/>
      <c r="Q1263" s="122"/>
      <c r="R1263" s="147">
        <f t="shared" si="150"/>
        <v>201.6</v>
      </c>
      <c r="S1263" s="2">
        <f t="shared" si="151"/>
        <v>0.34782608695652173</v>
      </c>
    </row>
    <row r="1264" spans="1:19" x14ac:dyDescent="0.25">
      <c r="A1264" s="201"/>
      <c r="B1264" s="182"/>
      <c r="C1264" s="182"/>
      <c r="D1264" s="182"/>
      <c r="E1264" s="182"/>
      <c r="F1264" s="172"/>
      <c r="G1264" s="173"/>
      <c r="H1264" s="172"/>
      <c r="I1264" s="173"/>
      <c r="J1264" s="209"/>
      <c r="K1264" s="182"/>
      <c r="L1264" s="212"/>
      <c r="M1264" s="71" t="s">
        <v>1355</v>
      </c>
      <c r="N1264" s="91">
        <v>630</v>
      </c>
      <c r="O1264" s="91">
        <v>261.2</v>
      </c>
      <c r="P1264" s="122"/>
      <c r="Q1264" s="122"/>
      <c r="R1264" s="147">
        <f t="shared" si="150"/>
        <v>261.2</v>
      </c>
      <c r="S1264" s="2">
        <f t="shared" si="151"/>
        <v>0.45065562456866803</v>
      </c>
    </row>
    <row r="1265" spans="1:19" x14ac:dyDescent="0.25">
      <c r="A1265" s="201"/>
      <c r="B1265" s="182"/>
      <c r="C1265" s="182"/>
      <c r="D1265" s="182"/>
      <c r="E1265" s="182"/>
      <c r="F1265" s="172"/>
      <c r="G1265" s="173"/>
      <c r="H1265" s="172"/>
      <c r="I1265" s="173"/>
      <c r="J1265" s="209"/>
      <c r="K1265" s="182"/>
      <c r="L1265" s="212"/>
      <c r="M1265" s="71" t="s">
        <v>1356</v>
      </c>
      <c r="N1265" s="160">
        <v>630</v>
      </c>
      <c r="O1265" s="91">
        <v>105.6</v>
      </c>
      <c r="P1265" s="122"/>
      <c r="Q1265" s="122"/>
      <c r="R1265" s="147">
        <f t="shared" si="150"/>
        <v>105.6</v>
      </c>
      <c r="S1265" s="2">
        <f t="shared" si="151"/>
        <v>0.18219461697722567</v>
      </c>
    </row>
    <row r="1266" spans="1:19" x14ac:dyDescent="0.25">
      <c r="A1266" s="201"/>
      <c r="B1266" s="182"/>
      <c r="C1266" s="182"/>
      <c r="D1266" s="182"/>
      <c r="E1266" s="182"/>
      <c r="F1266" s="172"/>
      <c r="G1266" s="173"/>
      <c r="H1266" s="172"/>
      <c r="I1266" s="173"/>
      <c r="J1266" s="209"/>
      <c r="K1266" s="182"/>
      <c r="L1266" s="212"/>
      <c r="M1266" s="71" t="s">
        <v>1357</v>
      </c>
      <c r="N1266" s="91">
        <v>630</v>
      </c>
      <c r="O1266" s="91">
        <v>252.6</v>
      </c>
      <c r="P1266" s="122"/>
      <c r="Q1266" s="122">
        <f>10</f>
        <v>10</v>
      </c>
      <c r="R1266" s="147">
        <f t="shared" si="150"/>
        <v>262.60000000000002</v>
      </c>
      <c r="S1266" s="2">
        <f t="shared" si="151"/>
        <v>0.45307108350586611</v>
      </c>
    </row>
    <row r="1267" spans="1:19" x14ac:dyDescent="0.25">
      <c r="A1267" s="201"/>
      <c r="B1267" s="182"/>
      <c r="C1267" s="182"/>
      <c r="D1267" s="182"/>
      <c r="E1267" s="182"/>
      <c r="F1267" s="172"/>
      <c r="G1267" s="173"/>
      <c r="H1267" s="172"/>
      <c r="I1267" s="173"/>
      <c r="J1267" s="209"/>
      <c r="K1267" s="182"/>
      <c r="L1267" s="212"/>
      <c r="M1267" s="71" t="s">
        <v>1358</v>
      </c>
      <c r="N1267" s="91">
        <v>400</v>
      </c>
      <c r="O1267" s="91">
        <v>20.399999999999999</v>
      </c>
      <c r="P1267" s="122"/>
      <c r="Q1267" s="122"/>
      <c r="R1267" s="147">
        <f t="shared" si="150"/>
        <v>20.399999999999999</v>
      </c>
      <c r="S1267" s="2">
        <f t="shared" si="151"/>
        <v>5.5434782608695651E-2</v>
      </c>
    </row>
    <row r="1268" spans="1:19" x14ac:dyDescent="0.25">
      <c r="A1268" s="201"/>
      <c r="B1268" s="182"/>
      <c r="C1268" s="182"/>
      <c r="D1268" s="182"/>
      <c r="E1268" s="182"/>
      <c r="F1268" s="172"/>
      <c r="G1268" s="173"/>
      <c r="H1268" s="172"/>
      <c r="I1268" s="173"/>
      <c r="J1268" s="209"/>
      <c r="K1268" s="182"/>
      <c r="L1268" s="212"/>
      <c r="M1268" s="71" t="s">
        <v>1359</v>
      </c>
      <c r="N1268" s="91">
        <v>400</v>
      </c>
      <c r="O1268" s="91">
        <v>343.6</v>
      </c>
      <c r="P1268" s="122"/>
      <c r="Q1268" s="122"/>
      <c r="R1268" s="147">
        <f t="shared" si="150"/>
        <v>343.6</v>
      </c>
      <c r="S1268" s="2">
        <f t="shared" si="151"/>
        <v>0.93369565217391315</v>
      </c>
    </row>
    <row r="1269" spans="1:19" x14ac:dyDescent="0.25">
      <c r="A1269" s="201"/>
      <c r="B1269" s="182"/>
      <c r="C1269" s="182"/>
      <c r="D1269" s="182"/>
      <c r="E1269" s="182"/>
      <c r="F1269" s="172"/>
      <c r="G1269" s="173"/>
      <c r="H1269" s="172"/>
      <c r="I1269" s="173"/>
      <c r="J1269" s="209"/>
      <c r="K1269" s="182"/>
      <c r="L1269" s="212"/>
      <c r="M1269" s="71" t="s">
        <v>1360</v>
      </c>
      <c r="N1269" s="160">
        <v>630</v>
      </c>
      <c r="O1269" s="91">
        <v>52.4</v>
      </c>
      <c r="P1269" s="122"/>
      <c r="Q1269" s="122"/>
      <c r="R1269" s="147">
        <f t="shared" si="150"/>
        <v>52.4</v>
      </c>
      <c r="S1269" s="2">
        <f t="shared" si="151"/>
        <v>9.040717736369909E-2</v>
      </c>
    </row>
    <row r="1270" spans="1:19" x14ac:dyDescent="0.25">
      <c r="A1270" s="201"/>
      <c r="B1270" s="182"/>
      <c r="C1270" s="182"/>
      <c r="D1270" s="182"/>
      <c r="E1270" s="182"/>
      <c r="F1270" s="172"/>
      <c r="G1270" s="173"/>
      <c r="H1270" s="172"/>
      <c r="I1270" s="173"/>
      <c r="J1270" s="209"/>
      <c r="K1270" s="182"/>
      <c r="L1270" s="212"/>
      <c r="M1270" s="71" t="s">
        <v>1361</v>
      </c>
      <c r="N1270" s="91">
        <v>630</v>
      </c>
      <c r="O1270" s="91">
        <v>80.2</v>
      </c>
      <c r="P1270" s="122"/>
      <c r="Q1270" s="122"/>
      <c r="R1270" s="147">
        <f t="shared" si="150"/>
        <v>80.2</v>
      </c>
      <c r="S1270" s="2">
        <f t="shared" si="151"/>
        <v>0.13837129054520358</v>
      </c>
    </row>
    <row r="1271" spans="1:19" x14ac:dyDescent="0.25">
      <c r="A1271" s="201"/>
      <c r="B1271" s="182"/>
      <c r="C1271" s="182"/>
      <c r="D1271" s="182"/>
      <c r="E1271" s="182"/>
      <c r="F1271" s="174"/>
      <c r="G1271" s="175"/>
      <c r="H1271" s="172"/>
      <c r="I1271" s="173"/>
      <c r="J1271" s="209"/>
      <c r="K1271" s="183"/>
      <c r="L1271" s="212"/>
      <c r="M1271" s="71" t="s">
        <v>1363</v>
      </c>
      <c r="N1271" s="160">
        <v>630</v>
      </c>
      <c r="O1271" s="91">
        <v>88</v>
      </c>
      <c r="P1271" s="122"/>
      <c r="Q1271" s="122"/>
      <c r="R1271" s="147">
        <f t="shared" si="150"/>
        <v>88</v>
      </c>
      <c r="S1271" s="2">
        <f t="shared" si="151"/>
        <v>0.15182884748102138</v>
      </c>
    </row>
    <row r="1272" spans="1:19" x14ac:dyDescent="0.25">
      <c r="A1272" s="201"/>
      <c r="B1272" s="182"/>
      <c r="C1272" s="182"/>
      <c r="D1272" s="182"/>
      <c r="E1272" s="182"/>
      <c r="F1272" s="170" t="s">
        <v>1364</v>
      </c>
      <c r="G1272" s="171"/>
      <c r="H1272" s="172"/>
      <c r="I1272" s="173"/>
      <c r="J1272" s="209"/>
      <c r="K1272" s="181"/>
      <c r="L1272" s="212">
        <v>2.2210000000000001</v>
      </c>
      <c r="M1272" s="71" t="s">
        <v>1365</v>
      </c>
      <c r="N1272" s="160">
        <v>630</v>
      </c>
      <c r="O1272" s="57">
        <v>117</v>
      </c>
      <c r="P1272" s="124"/>
      <c r="Q1272" s="120">
        <f>15+33</f>
        <v>48</v>
      </c>
      <c r="R1272" s="147">
        <f>O1272+P1272+Q1272</f>
        <v>165</v>
      </c>
      <c r="S1272" s="2">
        <f t="shared" si="151"/>
        <v>0.28467908902691508</v>
      </c>
    </row>
    <row r="1273" spans="1:19" x14ac:dyDescent="0.25">
      <c r="A1273" s="201"/>
      <c r="B1273" s="182"/>
      <c r="C1273" s="182"/>
      <c r="D1273" s="182"/>
      <c r="E1273" s="182"/>
      <c r="F1273" s="172"/>
      <c r="G1273" s="173"/>
      <c r="H1273" s="172"/>
      <c r="I1273" s="173"/>
      <c r="J1273" s="209"/>
      <c r="K1273" s="182"/>
      <c r="L1273" s="212"/>
      <c r="M1273" s="71" t="s">
        <v>1366</v>
      </c>
      <c r="N1273" s="91">
        <v>400</v>
      </c>
      <c r="O1273" s="91">
        <v>362.8</v>
      </c>
      <c r="P1273" s="122"/>
      <c r="Q1273" s="122"/>
      <c r="R1273" s="147">
        <f t="shared" si="150"/>
        <v>362.8</v>
      </c>
      <c r="S1273" s="2">
        <f t="shared" si="151"/>
        <v>0.98586956521739133</v>
      </c>
    </row>
    <row r="1274" spans="1:19" x14ac:dyDescent="0.25">
      <c r="A1274" s="201"/>
      <c r="B1274" s="182"/>
      <c r="C1274" s="182"/>
      <c r="D1274" s="182"/>
      <c r="E1274" s="182"/>
      <c r="F1274" s="172"/>
      <c r="G1274" s="173"/>
      <c r="H1274" s="172"/>
      <c r="I1274" s="173"/>
      <c r="J1274" s="209"/>
      <c r="K1274" s="182"/>
      <c r="L1274" s="212"/>
      <c r="M1274" s="71" t="s">
        <v>1367</v>
      </c>
      <c r="N1274" s="160">
        <v>630</v>
      </c>
      <c r="O1274" s="57">
        <v>290</v>
      </c>
      <c r="P1274" s="124"/>
      <c r="Q1274" s="124"/>
      <c r="R1274" s="147">
        <f t="shared" si="150"/>
        <v>290</v>
      </c>
      <c r="S1274" s="2">
        <f t="shared" si="151"/>
        <v>0.50034506556245684</v>
      </c>
    </row>
    <row r="1275" spans="1:19" x14ac:dyDescent="0.25">
      <c r="A1275" s="201"/>
      <c r="B1275" s="182"/>
      <c r="C1275" s="182"/>
      <c r="D1275" s="182"/>
      <c r="E1275" s="182"/>
      <c r="F1275" s="172"/>
      <c r="G1275" s="173"/>
      <c r="H1275" s="172"/>
      <c r="I1275" s="173"/>
      <c r="J1275" s="209"/>
      <c r="K1275" s="182"/>
      <c r="L1275" s="212"/>
      <c r="M1275" s="71" t="s">
        <v>1368</v>
      </c>
      <c r="N1275" s="91">
        <v>250</v>
      </c>
      <c r="O1275" s="91">
        <v>110.2</v>
      </c>
      <c r="P1275" s="122"/>
      <c r="Q1275" s="122"/>
      <c r="R1275" s="147">
        <f t="shared" si="150"/>
        <v>110.2</v>
      </c>
      <c r="S1275" s="2">
        <f t="shared" si="151"/>
        <v>0.47913043478260869</v>
      </c>
    </row>
    <row r="1276" spans="1:19" x14ac:dyDescent="0.25">
      <c r="A1276" s="201"/>
      <c r="B1276" s="182"/>
      <c r="C1276" s="182"/>
      <c r="D1276" s="182"/>
      <c r="E1276" s="182"/>
      <c r="F1276" s="172"/>
      <c r="G1276" s="173"/>
      <c r="H1276" s="172"/>
      <c r="I1276" s="173"/>
      <c r="J1276" s="209"/>
      <c r="K1276" s="182"/>
      <c r="L1276" s="212"/>
      <c r="M1276" s="71" t="s">
        <v>1369</v>
      </c>
      <c r="N1276" s="91">
        <v>630</v>
      </c>
      <c r="O1276" s="91">
        <v>333.8</v>
      </c>
      <c r="P1276" s="122"/>
      <c r="Q1276" s="122"/>
      <c r="R1276" s="147">
        <f t="shared" si="150"/>
        <v>333.8</v>
      </c>
      <c r="S1276" s="2">
        <f t="shared" si="151"/>
        <v>0.57591442374051072</v>
      </c>
    </row>
    <row r="1277" spans="1:19" x14ac:dyDescent="0.25">
      <c r="A1277" s="201"/>
      <c r="B1277" s="182"/>
      <c r="C1277" s="182"/>
      <c r="D1277" s="182"/>
      <c r="E1277" s="182"/>
      <c r="F1277" s="172"/>
      <c r="G1277" s="173"/>
      <c r="H1277" s="172"/>
      <c r="I1277" s="173"/>
      <c r="J1277" s="209"/>
      <c r="K1277" s="182"/>
      <c r="L1277" s="212"/>
      <c r="M1277" s="71" t="s">
        <v>1370</v>
      </c>
      <c r="N1277" s="91">
        <v>400</v>
      </c>
      <c r="O1277" s="91">
        <v>160.80000000000001</v>
      </c>
      <c r="P1277" s="122"/>
      <c r="Q1277" s="122">
        <f>8</f>
        <v>8</v>
      </c>
      <c r="R1277" s="147">
        <f t="shared" si="150"/>
        <v>168.8</v>
      </c>
      <c r="S1277" s="2">
        <f t="shared" si="151"/>
        <v>0.45869565217391306</v>
      </c>
    </row>
    <row r="1278" spans="1:19" x14ac:dyDescent="0.25">
      <c r="A1278" s="201"/>
      <c r="B1278" s="182"/>
      <c r="C1278" s="182"/>
      <c r="D1278" s="182"/>
      <c r="E1278" s="182"/>
      <c r="F1278" s="172"/>
      <c r="G1278" s="173"/>
      <c r="H1278" s="172"/>
      <c r="I1278" s="173"/>
      <c r="J1278" s="209"/>
      <c r="K1278" s="182"/>
      <c r="L1278" s="212"/>
      <c r="M1278" s="71" t="s">
        <v>1371</v>
      </c>
      <c r="N1278" s="61">
        <v>400</v>
      </c>
      <c r="O1278" s="57">
        <v>156</v>
      </c>
      <c r="P1278" s="124"/>
      <c r="Q1278" s="124"/>
      <c r="R1278" s="147">
        <f t="shared" si="150"/>
        <v>156</v>
      </c>
      <c r="S1278" s="2">
        <f t="shared" si="151"/>
        <v>0.42391304347826086</v>
      </c>
    </row>
    <row r="1279" spans="1:19" x14ac:dyDescent="0.25">
      <c r="A1279" s="201"/>
      <c r="B1279" s="182"/>
      <c r="C1279" s="182"/>
      <c r="D1279" s="182"/>
      <c r="E1279" s="182"/>
      <c r="F1279" s="172"/>
      <c r="G1279" s="173"/>
      <c r="H1279" s="172"/>
      <c r="I1279" s="173"/>
      <c r="J1279" s="209"/>
      <c r="K1279" s="182"/>
      <c r="L1279" s="212"/>
      <c r="M1279" s="71" t="s">
        <v>1373</v>
      </c>
      <c r="N1279" s="160">
        <v>630</v>
      </c>
      <c r="O1279" s="62" t="s">
        <v>2136</v>
      </c>
      <c r="P1279" s="128"/>
      <c r="Q1279" s="118">
        <v>15</v>
      </c>
      <c r="R1279" s="147">
        <f t="shared" si="150"/>
        <v>63</v>
      </c>
      <c r="S1279" s="2">
        <f t="shared" si="151"/>
        <v>0.10869565217391304</v>
      </c>
    </row>
    <row r="1280" spans="1:19" x14ac:dyDescent="0.25">
      <c r="A1280" s="201"/>
      <c r="B1280" s="182"/>
      <c r="C1280" s="182"/>
      <c r="D1280" s="182"/>
      <c r="E1280" s="182"/>
      <c r="F1280" s="172"/>
      <c r="G1280" s="173"/>
      <c r="H1280" s="172"/>
      <c r="I1280" s="173"/>
      <c r="J1280" s="209"/>
      <c r="K1280" s="182"/>
      <c r="L1280" s="212"/>
      <c r="M1280" s="71" t="s">
        <v>1374</v>
      </c>
      <c r="N1280" s="91">
        <v>250</v>
      </c>
      <c r="O1280" s="91">
        <v>219</v>
      </c>
      <c r="P1280" s="122"/>
      <c r="Q1280" s="122"/>
      <c r="R1280" s="147">
        <f t="shared" si="150"/>
        <v>219</v>
      </c>
      <c r="S1280" s="2">
        <f t="shared" si="151"/>
        <v>0.95217391304347831</v>
      </c>
    </row>
    <row r="1281" spans="1:19" x14ac:dyDescent="0.25">
      <c r="A1281" s="201"/>
      <c r="B1281" s="182"/>
      <c r="C1281" s="182"/>
      <c r="D1281" s="182"/>
      <c r="E1281" s="182"/>
      <c r="F1281" s="174"/>
      <c r="G1281" s="175"/>
      <c r="H1281" s="172"/>
      <c r="I1281" s="173"/>
      <c r="J1281" s="209"/>
      <c r="K1281" s="183"/>
      <c r="L1281" s="212"/>
      <c r="M1281" s="71" t="s">
        <v>1375</v>
      </c>
      <c r="N1281" s="91">
        <v>250</v>
      </c>
      <c r="O1281" s="91">
        <v>119</v>
      </c>
      <c r="P1281" s="122"/>
      <c r="Q1281" s="122"/>
      <c r="R1281" s="147">
        <f t="shared" si="150"/>
        <v>119</v>
      </c>
      <c r="S1281" s="2">
        <f t="shared" si="151"/>
        <v>0.5173913043478261</v>
      </c>
    </row>
    <row r="1282" spans="1:19" x14ac:dyDescent="0.25">
      <c r="A1282" s="201"/>
      <c r="B1282" s="182"/>
      <c r="C1282" s="182"/>
      <c r="D1282" s="182"/>
      <c r="E1282" s="182"/>
      <c r="F1282" s="170" t="s">
        <v>1377</v>
      </c>
      <c r="G1282" s="171"/>
      <c r="H1282" s="172"/>
      <c r="I1282" s="173"/>
      <c r="J1282" s="209"/>
      <c r="K1282" s="181"/>
      <c r="L1282" s="212">
        <v>0.86</v>
      </c>
      <c r="M1282" s="71" t="s">
        <v>1367</v>
      </c>
      <c r="N1282" s="160">
        <v>630</v>
      </c>
      <c r="O1282" s="57">
        <v>395</v>
      </c>
      <c r="P1282" s="124"/>
      <c r="Q1282" s="124"/>
      <c r="R1282" s="147">
        <f t="shared" si="150"/>
        <v>395</v>
      </c>
      <c r="S1282" s="2">
        <f t="shared" si="151"/>
        <v>0.68150448585231194</v>
      </c>
    </row>
    <row r="1283" spans="1:19" x14ac:dyDescent="0.25">
      <c r="A1283" s="201"/>
      <c r="B1283" s="182"/>
      <c r="C1283" s="182"/>
      <c r="D1283" s="182"/>
      <c r="E1283" s="182"/>
      <c r="F1283" s="172"/>
      <c r="G1283" s="173"/>
      <c r="H1283" s="172"/>
      <c r="I1283" s="173"/>
      <c r="J1283" s="209"/>
      <c r="K1283" s="182"/>
      <c r="L1283" s="212"/>
      <c r="M1283" s="71" t="s">
        <v>1354</v>
      </c>
      <c r="N1283" s="160">
        <v>630</v>
      </c>
      <c r="O1283" s="91">
        <v>80</v>
      </c>
      <c r="P1283" s="122"/>
      <c r="Q1283" s="122"/>
      <c r="R1283" s="147">
        <f t="shared" si="150"/>
        <v>80</v>
      </c>
      <c r="S1283" s="2">
        <f t="shared" si="151"/>
        <v>0.13802622498274672</v>
      </c>
    </row>
    <row r="1284" spans="1:19" x14ac:dyDescent="0.25">
      <c r="A1284" s="201"/>
      <c r="B1284" s="182"/>
      <c r="C1284" s="182"/>
      <c r="D1284" s="182"/>
      <c r="E1284" s="182"/>
      <c r="F1284" s="172"/>
      <c r="G1284" s="173"/>
      <c r="H1284" s="172"/>
      <c r="I1284" s="173"/>
      <c r="J1284" s="209"/>
      <c r="K1284" s="182"/>
      <c r="L1284" s="212"/>
      <c r="M1284" s="71" t="s">
        <v>1360</v>
      </c>
      <c r="N1284" s="91">
        <v>630</v>
      </c>
      <c r="O1284" s="91">
        <v>78.599999999999994</v>
      </c>
      <c r="P1284" s="122"/>
      <c r="Q1284" s="122"/>
      <c r="R1284" s="147">
        <f t="shared" si="150"/>
        <v>78.599999999999994</v>
      </c>
      <c r="S1284" s="2">
        <f t="shared" si="151"/>
        <v>0.13561076604554864</v>
      </c>
    </row>
    <row r="1285" spans="1:19" x14ac:dyDescent="0.25">
      <c r="A1285" s="201"/>
      <c r="B1285" s="182"/>
      <c r="C1285" s="182"/>
      <c r="D1285" s="182"/>
      <c r="E1285" s="182"/>
      <c r="F1285" s="172"/>
      <c r="G1285" s="173"/>
      <c r="H1285" s="172"/>
      <c r="I1285" s="173"/>
      <c r="J1285" s="209"/>
      <c r="K1285" s="182"/>
      <c r="L1285" s="212"/>
      <c r="M1285" s="71" t="s">
        <v>1378</v>
      </c>
      <c r="N1285" s="91">
        <v>630</v>
      </c>
      <c r="O1285" s="91">
        <v>280.2</v>
      </c>
      <c r="P1285" s="122"/>
      <c r="Q1285" s="122">
        <f>15</f>
        <v>15</v>
      </c>
      <c r="R1285" s="147">
        <f t="shared" si="150"/>
        <v>295.2</v>
      </c>
      <c r="S1285" s="2">
        <f t="shared" si="151"/>
        <v>0.50931677018633537</v>
      </c>
    </row>
    <row r="1286" spans="1:19" x14ac:dyDescent="0.25">
      <c r="A1286" s="201"/>
      <c r="B1286" s="182"/>
      <c r="C1286" s="182"/>
      <c r="D1286" s="182"/>
      <c r="E1286" s="182"/>
      <c r="F1286" s="172"/>
      <c r="G1286" s="173"/>
      <c r="H1286" s="172"/>
      <c r="I1286" s="173"/>
      <c r="J1286" s="209"/>
      <c r="K1286" s="182"/>
      <c r="L1286" s="212"/>
      <c r="M1286" s="71" t="s">
        <v>1379</v>
      </c>
      <c r="N1286" s="160">
        <v>630</v>
      </c>
      <c r="O1286" s="91">
        <v>203.4</v>
      </c>
      <c r="P1286" s="122"/>
      <c r="Q1286" s="122"/>
      <c r="R1286" s="147">
        <f t="shared" si="150"/>
        <v>203.4</v>
      </c>
      <c r="S1286" s="2">
        <f t="shared" si="151"/>
        <v>0.35093167701863354</v>
      </c>
    </row>
    <row r="1287" spans="1:19" x14ac:dyDescent="0.25">
      <c r="A1287" s="201"/>
      <c r="B1287" s="182"/>
      <c r="C1287" s="182"/>
      <c r="D1287" s="182"/>
      <c r="E1287" s="182"/>
      <c r="F1287" s="172"/>
      <c r="G1287" s="173"/>
      <c r="H1287" s="172"/>
      <c r="I1287" s="173"/>
      <c r="J1287" s="209"/>
      <c r="K1287" s="182"/>
      <c r="L1287" s="212"/>
      <c r="M1287" s="71" t="s">
        <v>1380</v>
      </c>
      <c r="N1287" s="91">
        <v>250</v>
      </c>
      <c r="O1287" s="91">
        <v>185</v>
      </c>
      <c r="P1287" s="122"/>
      <c r="Q1287" s="122"/>
      <c r="R1287" s="147">
        <f t="shared" si="150"/>
        <v>185</v>
      </c>
      <c r="S1287" s="2">
        <f t="shared" si="151"/>
        <v>0.80434782608695654</v>
      </c>
    </row>
    <row r="1288" spans="1:19" x14ac:dyDescent="0.25">
      <c r="A1288" s="201"/>
      <c r="B1288" s="182"/>
      <c r="C1288" s="182"/>
      <c r="D1288" s="182"/>
      <c r="E1288" s="182"/>
      <c r="F1288" s="172"/>
      <c r="G1288" s="173"/>
      <c r="H1288" s="172"/>
      <c r="I1288" s="173"/>
      <c r="J1288" s="209"/>
      <c r="K1288" s="182"/>
      <c r="L1288" s="212"/>
      <c r="M1288" s="71" t="s">
        <v>1363</v>
      </c>
      <c r="N1288" s="160">
        <v>630</v>
      </c>
      <c r="O1288" s="91">
        <v>108.2</v>
      </c>
      <c r="P1288" s="122"/>
      <c r="Q1288" s="122"/>
      <c r="R1288" s="147">
        <f t="shared" si="150"/>
        <v>108.2</v>
      </c>
      <c r="S1288" s="2">
        <f t="shared" si="151"/>
        <v>0.18668046928916493</v>
      </c>
    </row>
    <row r="1289" spans="1:19" x14ac:dyDescent="0.25">
      <c r="A1289" s="201"/>
      <c r="B1289" s="182"/>
      <c r="C1289" s="182"/>
      <c r="D1289" s="182"/>
      <c r="E1289" s="182"/>
      <c r="F1289" s="174"/>
      <c r="G1289" s="175"/>
      <c r="H1289" s="172"/>
      <c r="I1289" s="173"/>
      <c r="J1289" s="209"/>
      <c r="K1289" s="183"/>
      <c r="L1289" s="212"/>
      <c r="M1289" s="71" t="s">
        <v>1356</v>
      </c>
      <c r="N1289" s="160">
        <v>630</v>
      </c>
      <c r="O1289" s="91">
        <v>138.80000000000001</v>
      </c>
      <c r="P1289" s="122"/>
      <c r="Q1289" s="122"/>
      <c r="R1289" s="147">
        <f t="shared" si="150"/>
        <v>138.80000000000001</v>
      </c>
      <c r="S1289" s="2">
        <f t="shared" si="151"/>
        <v>0.23947550034506557</v>
      </c>
    </row>
    <row r="1290" spans="1:19" ht="14.25" customHeight="1" x14ac:dyDescent="0.25">
      <c r="A1290" s="201"/>
      <c r="B1290" s="182"/>
      <c r="C1290" s="182"/>
      <c r="D1290" s="182"/>
      <c r="E1290" s="182"/>
      <c r="F1290" s="170" t="s">
        <v>1381</v>
      </c>
      <c r="G1290" s="171"/>
      <c r="H1290" s="172"/>
      <c r="I1290" s="173"/>
      <c r="J1290" s="209"/>
      <c r="K1290" s="181"/>
      <c r="L1290" s="212">
        <v>0.71599999999999997</v>
      </c>
      <c r="M1290" s="71" t="s">
        <v>1365</v>
      </c>
      <c r="N1290" s="160">
        <v>630</v>
      </c>
      <c r="O1290" s="57">
        <v>101</v>
      </c>
      <c r="P1290" s="124"/>
      <c r="Q1290" s="124"/>
      <c r="R1290" s="147">
        <f t="shared" si="150"/>
        <v>101</v>
      </c>
      <c r="S1290" s="2">
        <f t="shared" si="151"/>
        <v>0.17425810904071773</v>
      </c>
    </row>
    <row r="1291" spans="1:19" x14ac:dyDescent="0.25">
      <c r="A1291" s="201"/>
      <c r="B1291" s="182"/>
      <c r="C1291" s="182"/>
      <c r="D1291" s="182"/>
      <c r="E1291" s="182"/>
      <c r="F1291" s="172"/>
      <c r="G1291" s="173"/>
      <c r="H1291" s="172"/>
      <c r="I1291" s="173"/>
      <c r="J1291" s="209"/>
      <c r="K1291" s="182"/>
      <c r="L1291" s="212"/>
      <c r="M1291" s="71" t="s">
        <v>1382</v>
      </c>
      <c r="N1291" s="61">
        <v>400</v>
      </c>
      <c r="O1291" s="57">
        <v>257</v>
      </c>
      <c r="P1291" s="124"/>
      <c r="Q1291" s="124" t="s">
        <v>2131</v>
      </c>
      <c r="R1291" s="147">
        <f t="shared" si="150"/>
        <v>272</v>
      </c>
      <c r="S1291" s="2">
        <f t="shared" si="151"/>
        <v>0.73913043478260865</v>
      </c>
    </row>
    <row r="1292" spans="1:19" x14ac:dyDescent="0.25">
      <c r="A1292" s="201"/>
      <c r="B1292" s="182"/>
      <c r="C1292" s="182"/>
      <c r="D1292" s="182"/>
      <c r="E1292" s="182"/>
      <c r="F1292" s="172"/>
      <c r="G1292" s="173"/>
      <c r="H1292" s="172"/>
      <c r="I1292" s="173"/>
      <c r="J1292" s="209"/>
      <c r="K1292" s="182"/>
      <c r="L1292" s="212"/>
      <c r="M1292" s="71" t="s">
        <v>1383</v>
      </c>
      <c r="N1292" s="61">
        <v>250</v>
      </c>
      <c r="O1292" s="91">
        <v>76.599999999999994</v>
      </c>
      <c r="P1292" s="122"/>
      <c r="Q1292" s="122"/>
      <c r="R1292" s="147">
        <f t="shared" si="150"/>
        <v>76.599999999999994</v>
      </c>
      <c r="S1292" s="2">
        <f t="shared" si="151"/>
        <v>0.33304347826086955</v>
      </c>
    </row>
    <row r="1293" spans="1:19" x14ac:dyDescent="0.25">
      <c r="A1293" s="201"/>
      <c r="B1293" s="182"/>
      <c r="C1293" s="182"/>
      <c r="D1293" s="182"/>
      <c r="E1293" s="182"/>
      <c r="F1293" s="172"/>
      <c r="G1293" s="173"/>
      <c r="H1293" s="172"/>
      <c r="I1293" s="173"/>
      <c r="J1293" s="209"/>
      <c r="K1293" s="182"/>
      <c r="L1293" s="212"/>
      <c r="M1293" s="71" t="s">
        <v>1384</v>
      </c>
      <c r="N1293" s="160">
        <v>630</v>
      </c>
      <c r="O1293" s="91">
        <v>46</v>
      </c>
      <c r="P1293" s="122"/>
      <c r="Q1293" s="122"/>
      <c r="R1293" s="147">
        <f t="shared" si="150"/>
        <v>46</v>
      </c>
      <c r="S1293" s="2">
        <f t="shared" si="151"/>
        <v>7.9365079365079361E-2</v>
      </c>
    </row>
    <row r="1294" spans="1:19" x14ac:dyDescent="0.25">
      <c r="A1294" s="201"/>
      <c r="B1294" s="182"/>
      <c r="C1294" s="182"/>
      <c r="D1294" s="182"/>
      <c r="E1294" s="182"/>
      <c r="F1294" s="172"/>
      <c r="G1294" s="173"/>
      <c r="H1294" s="172"/>
      <c r="I1294" s="173"/>
      <c r="J1294" s="209"/>
      <c r="K1294" s="182"/>
      <c r="L1294" s="212"/>
      <c r="M1294" s="71" t="s">
        <v>1385</v>
      </c>
      <c r="N1294" s="61">
        <v>160</v>
      </c>
      <c r="O1294" s="91">
        <v>159.4</v>
      </c>
      <c r="P1294" s="122"/>
      <c r="Q1294" s="122"/>
      <c r="R1294" s="147">
        <f t="shared" si="150"/>
        <v>159.4</v>
      </c>
      <c r="S1294" s="2">
        <f t="shared" si="151"/>
        <v>1.0828804347826086</v>
      </c>
    </row>
    <row r="1295" spans="1:19" x14ac:dyDescent="0.25">
      <c r="A1295" s="201"/>
      <c r="B1295" s="182"/>
      <c r="C1295" s="182"/>
      <c r="D1295" s="182"/>
      <c r="E1295" s="182"/>
      <c r="F1295" s="172"/>
      <c r="G1295" s="173"/>
      <c r="H1295" s="172"/>
      <c r="I1295" s="173"/>
      <c r="J1295" s="209"/>
      <c r="K1295" s="182"/>
      <c r="L1295" s="212"/>
      <c r="M1295" s="71" t="s">
        <v>1386</v>
      </c>
      <c r="N1295" s="86">
        <f>2*400</f>
        <v>800</v>
      </c>
      <c r="O1295" s="91">
        <v>209.4</v>
      </c>
      <c r="P1295" s="122"/>
      <c r="Q1295" s="122">
        <f>15+15</f>
        <v>30</v>
      </c>
      <c r="R1295" s="147">
        <f t="shared" si="150"/>
        <v>239.4</v>
      </c>
      <c r="S1295" s="2">
        <f t="shared" si="151"/>
        <v>0.32527173913043478</v>
      </c>
    </row>
    <row r="1296" spans="1:19" x14ac:dyDescent="0.25">
      <c r="A1296" s="201"/>
      <c r="B1296" s="182"/>
      <c r="C1296" s="182"/>
      <c r="D1296" s="182"/>
      <c r="E1296" s="182"/>
      <c r="F1296" s="172"/>
      <c r="G1296" s="173"/>
      <c r="H1296" s="172"/>
      <c r="I1296" s="173"/>
      <c r="J1296" s="209"/>
      <c r="K1296" s="182"/>
      <c r="L1296" s="212"/>
      <c r="M1296" s="71" t="s">
        <v>1387</v>
      </c>
      <c r="N1296" s="61">
        <v>400</v>
      </c>
      <c r="O1296" s="91">
        <v>77.599999999999994</v>
      </c>
      <c r="P1296" s="122"/>
      <c r="Q1296" s="122"/>
      <c r="R1296" s="147">
        <f t="shared" si="150"/>
        <v>77.599999999999994</v>
      </c>
      <c r="S1296" s="2">
        <f t="shared" si="151"/>
        <v>0.21086956521739128</v>
      </c>
    </row>
    <row r="1297" spans="1:19" x14ac:dyDescent="0.25">
      <c r="A1297" s="201"/>
      <c r="B1297" s="182"/>
      <c r="C1297" s="182"/>
      <c r="D1297" s="182"/>
      <c r="E1297" s="182"/>
      <c r="F1297" s="172"/>
      <c r="G1297" s="173"/>
      <c r="H1297" s="172"/>
      <c r="I1297" s="173"/>
      <c r="J1297" s="209"/>
      <c r="K1297" s="182"/>
      <c r="L1297" s="212"/>
      <c r="M1297" s="71" t="s">
        <v>1388</v>
      </c>
      <c r="N1297" s="61">
        <v>400</v>
      </c>
      <c r="O1297" s="91">
        <v>187.2</v>
      </c>
      <c r="P1297" s="122"/>
      <c r="Q1297" s="122"/>
      <c r="R1297" s="147">
        <f t="shared" si="150"/>
        <v>187.2</v>
      </c>
      <c r="S1297" s="2">
        <f t="shared" si="151"/>
        <v>0.50869565217391299</v>
      </c>
    </row>
    <row r="1298" spans="1:19" x14ac:dyDescent="0.25">
      <c r="A1298" s="201"/>
      <c r="B1298" s="182"/>
      <c r="C1298" s="182"/>
      <c r="D1298" s="182"/>
      <c r="E1298" s="182"/>
      <c r="F1298" s="172"/>
      <c r="G1298" s="173"/>
      <c r="H1298" s="172"/>
      <c r="I1298" s="173"/>
      <c r="J1298" s="209"/>
      <c r="K1298" s="183"/>
      <c r="L1298" s="212"/>
      <c r="M1298" s="71" t="s">
        <v>1361</v>
      </c>
      <c r="N1298" s="160">
        <v>630</v>
      </c>
      <c r="O1298" s="91">
        <v>158.19999999999999</v>
      </c>
      <c r="P1298" s="122"/>
      <c r="Q1298" s="122"/>
      <c r="R1298" s="147">
        <f t="shared" si="150"/>
        <v>158.19999999999999</v>
      </c>
      <c r="S1298" s="2">
        <f t="shared" si="151"/>
        <v>0.27294685990338163</v>
      </c>
    </row>
    <row r="1299" spans="1:19" x14ac:dyDescent="0.25">
      <c r="A1299" s="201"/>
      <c r="B1299" s="182"/>
      <c r="C1299" s="182"/>
      <c r="D1299" s="182"/>
      <c r="E1299" s="182"/>
      <c r="F1299" s="176" t="s">
        <v>1389</v>
      </c>
      <c r="G1299" s="177"/>
      <c r="H1299" s="172"/>
      <c r="I1299" s="173"/>
      <c r="J1299" s="209"/>
      <c r="K1299" s="88"/>
      <c r="L1299" s="91">
        <v>1.9359999999999999</v>
      </c>
      <c r="M1299" s="84" t="s">
        <v>1390</v>
      </c>
      <c r="N1299" s="61">
        <f>2*250</f>
        <v>500</v>
      </c>
      <c r="O1299" s="63">
        <v>216</v>
      </c>
      <c r="P1299" s="129"/>
      <c r="Q1299" s="129"/>
      <c r="R1299" s="147">
        <f t="shared" si="150"/>
        <v>216</v>
      </c>
      <c r="S1299" s="2">
        <f t="shared" si="151"/>
        <v>0.46956521739130436</v>
      </c>
    </row>
    <row r="1300" spans="1:19" x14ac:dyDescent="0.25">
      <c r="A1300" s="201"/>
      <c r="B1300" s="182"/>
      <c r="C1300" s="182"/>
      <c r="D1300" s="182"/>
      <c r="E1300" s="182"/>
      <c r="F1300" s="174" t="s">
        <v>1391</v>
      </c>
      <c r="G1300" s="175"/>
      <c r="H1300" s="172"/>
      <c r="I1300" s="173"/>
      <c r="J1300" s="209"/>
      <c r="K1300" s="88"/>
      <c r="L1300" s="91">
        <v>2.13</v>
      </c>
      <c r="M1300" s="84" t="s">
        <v>1390</v>
      </c>
      <c r="N1300" s="61">
        <f>2*250</f>
        <v>500</v>
      </c>
      <c r="O1300" s="63">
        <v>274</v>
      </c>
      <c r="P1300" s="129"/>
      <c r="Q1300" s="129"/>
      <c r="R1300" s="147">
        <f t="shared" si="150"/>
        <v>274</v>
      </c>
      <c r="S1300" s="2">
        <f t="shared" si="151"/>
        <v>0.59565217391304348</v>
      </c>
    </row>
    <row r="1301" spans="1:19" x14ac:dyDescent="0.25">
      <c r="A1301" s="201"/>
      <c r="B1301" s="182"/>
      <c r="C1301" s="182"/>
      <c r="D1301" s="182"/>
      <c r="E1301" s="182"/>
      <c r="F1301" s="170" t="s">
        <v>1392</v>
      </c>
      <c r="G1301" s="171"/>
      <c r="H1301" s="172"/>
      <c r="I1301" s="173"/>
      <c r="J1301" s="209"/>
      <c r="K1301" s="181"/>
      <c r="L1301" s="212">
        <v>0.78800000000000003</v>
      </c>
      <c r="M1301" s="71" t="s">
        <v>1384</v>
      </c>
      <c r="N1301" s="160">
        <v>630</v>
      </c>
      <c r="O1301" s="57">
        <v>60</v>
      </c>
      <c r="P1301" s="124"/>
      <c r="Q1301" s="124"/>
      <c r="R1301" s="147">
        <f t="shared" si="150"/>
        <v>60</v>
      </c>
      <c r="S1301" s="2">
        <f t="shared" si="151"/>
        <v>0.10351966873706003</v>
      </c>
    </row>
    <row r="1302" spans="1:19" x14ac:dyDescent="0.25">
      <c r="A1302" s="201"/>
      <c r="B1302" s="182"/>
      <c r="C1302" s="182"/>
      <c r="D1302" s="182"/>
      <c r="E1302" s="182"/>
      <c r="F1302" s="172"/>
      <c r="G1302" s="173"/>
      <c r="H1302" s="172"/>
      <c r="I1302" s="173"/>
      <c r="J1302" s="209"/>
      <c r="K1302" s="182"/>
      <c r="L1302" s="212"/>
      <c r="M1302" s="71" t="s">
        <v>1393</v>
      </c>
      <c r="N1302" s="61">
        <v>400</v>
      </c>
      <c r="O1302" s="91">
        <v>61.2</v>
      </c>
      <c r="P1302" s="122"/>
      <c r="Q1302" s="122"/>
      <c r="R1302" s="147">
        <f t="shared" si="150"/>
        <v>61.2</v>
      </c>
      <c r="S1302" s="2">
        <f t="shared" si="151"/>
        <v>0.16630434782608697</v>
      </c>
    </row>
    <row r="1303" spans="1:19" x14ac:dyDescent="0.25">
      <c r="A1303" s="201"/>
      <c r="B1303" s="182"/>
      <c r="C1303" s="182"/>
      <c r="D1303" s="182"/>
      <c r="E1303" s="182"/>
      <c r="F1303" s="172"/>
      <c r="G1303" s="173"/>
      <c r="H1303" s="172"/>
      <c r="I1303" s="173"/>
      <c r="J1303" s="209"/>
      <c r="K1303" s="182"/>
      <c r="L1303" s="212"/>
      <c r="M1303" s="71" t="s">
        <v>1394</v>
      </c>
      <c r="N1303" s="61">
        <v>400</v>
      </c>
      <c r="O1303" s="91">
        <v>184.6</v>
      </c>
      <c r="P1303" s="122"/>
      <c r="Q1303" s="122"/>
      <c r="R1303" s="147">
        <f t="shared" si="150"/>
        <v>184.6</v>
      </c>
      <c r="S1303" s="2">
        <f t="shared" si="151"/>
        <v>0.50163043478260871</v>
      </c>
    </row>
    <row r="1304" spans="1:19" x14ac:dyDescent="0.25">
      <c r="A1304" s="201"/>
      <c r="B1304" s="182"/>
      <c r="C1304" s="182"/>
      <c r="D1304" s="182"/>
      <c r="E1304" s="182"/>
      <c r="F1304" s="172"/>
      <c r="G1304" s="173"/>
      <c r="H1304" s="172"/>
      <c r="I1304" s="173"/>
      <c r="J1304" s="209"/>
      <c r="K1304" s="182"/>
      <c r="L1304" s="212"/>
      <c r="M1304" s="71" t="s">
        <v>1395</v>
      </c>
      <c r="N1304" s="61">
        <v>630</v>
      </c>
      <c r="O1304" s="91">
        <v>368</v>
      </c>
      <c r="P1304" s="122"/>
      <c r="Q1304" s="122"/>
      <c r="R1304" s="147">
        <f t="shared" si="150"/>
        <v>368</v>
      </c>
      <c r="S1304" s="2">
        <f t="shared" si="151"/>
        <v>0.63492063492063489</v>
      </c>
    </row>
    <row r="1305" spans="1:19" x14ac:dyDescent="0.25">
      <c r="A1305" s="201"/>
      <c r="B1305" s="182"/>
      <c r="C1305" s="182"/>
      <c r="D1305" s="182"/>
      <c r="E1305" s="182"/>
      <c r="F1305" s="172"/>
      <c r="G1305" s="173"/>
      <c r="H1305" s="172"/>
      <c r="I1305" s="173"/>
      <c r="J1305" s="209"/>
      <c r="K1305" s="183"/>
      <c r="L1305" s="212"/>
      <c r="M1305" s="71" t="s">
        <v>1396</v>
      </c>
      <c r="N1305" s="61">
        <v>630</v>
      </c>
      <c r="O1305" s="91">
        <v>347.6</v>
      </c>
      <c r="P1305" s="122"/>
      <c r="Q1305" s="122"/>
      <c r="R1305" s="147">
        <f t="shared" si="150"/>
        <v>347.6</v>
      </c>
      <c r="S1305" s="2">
        <f t="shared" si="151"/>
        <v>0.59972394755003455</v>
      </c>
    </row>
    <row r="1306" spans="1:19" x14ac:dyDescent="0.25">
      <c r="A1306" s="201"/>
      <c r="B1306" s="182"/>
      <c r="C1306" s="182"/>
      <c r="D1306" s="182"/>
      <c r="E1306" s="182"/>
      <c r="F1306" s="170" t="s">
        <v>1397</v>
      </c>
      <c r="G1306" s="171"/>
      <c r="H1306" s="172"/>
      <c r="I1306" s="173"/>
      <c r="J1306" s="209"/>
      <c r="K1306" s="181"/>
      <c r="L1306" s="212">
        <v>1.0029999999999999</v>
      </c>
      <c r="M1306" s="71" t="s">
        <v>1398</v>
      </c>
      <c r="N1306" s="160">
        <v>630</v>
      </c>
      <c r="O1306" s="91">
        <v>231</v>
      </c>
      <c r="P1306" s="122"/>
      <c r="Q1306" s="122"/>
      <c r="R1306" s="147">
        <f t="shared" si="150"/>
        <v>231</v>
      </c>
      <c r="S1306" s="2">
        <f t="shared" si="151"/>
        <v>0.39855072463768115</v>
      </c>
    </row>
    <row r="1307" spans="1:19" x14ac:dyDescent="0.25">
      <c r="A1307" s="201"/>
      <c r="B1307" s="182"/>
      <c r="C1307" s="182"/>
      <c r="D1307" s="182"/>
      <c r="E1307" s="182"/>
      <c r="F1307" s="172"/>
      <c r="G1307" s="173"/>
      <c r="H1307" s="172"/>
      <c r="I1307" s="173"/>
      <c r="J1307" s="209"/>
      <c r="K1307" s="182"/>
      <c r="L1307" s="212"/>
      <c r="M1307" s="71" t="s">
        <v>1399</v>
      </c>
      <c r="N1307" s="61">
        <v>400</v>
      </c>
      <c r="O1307" s="91">
        <v>306.8</v>
      </c>
      <c r="P1307" s="122"/>
      <c r="Q1307" s="122"/>
      <c r="R1307" s="147">
        <f t="shared" si="150"/>
        <v>306.8</v>
      </c>
      <c r="S1307" s="2">
        <f t="shared" si="151"/>
        <v>0.83369565217391306</v>
      </c>
    </row>
    <row r="1308" spans="1:19" x14ac:dyDescent="0.25">
      <c r="A1308" s="201"/>
      <c r="B1308" s="182"/>
      <c r="C1308" s="182"/>
      <c r="D1308" s="182"/>
      <c r="E1308" s="182"/>
      <c r="F1308" s="172"/>
      <c r="G1308" s="173"/>
      <c r="H1308" s="172"/>
      <c r="I1308" s="173"/>
      <c r="J1308" s="209"/>
      <c r="K1308" s="182"/>
      <c r="L1308" s="212"/>
      <c r="M1308" s="71" t="s">
        <v>1400</v>
      </c>
      <c r="N1308" s="160">
        <v>630</v>
      </c>
      <c r="O1308" s="57">
        <v>266</v>
      </c>
      <c r="P1308" s="124"/>
      <c r="Q1308" s="124"/>
      <c r="R1308" s="147">
        <f t="shared" si="150"/>
        <v>266</v>
      </c>
      <c r="S1308" s="2">
        <f t="shared" si="151"/>
        <v>0.45893719806763283</v>
      </c>
    </row>
    <row r="1309" spans="1:19" x14ac:dyDescent="0.25">
      <c r="A1309" s="201"/>
      <c r="B1309" s="182"/>
      <c r="C1309" s="182"/>
      <c r="D1309" s="182"/>
      <c r="E1309" s="182"/>
      <c r="F1309" s="172"/>
      <c r="G1309" s="173"/>
      <c r="H1309" s="172"/>
      <c r="I1309" s="173"/>
      <c r="J1309" s="209"/>
      <c r="K1309" s="183"/>
      <c r="L1309" s="212"/>
      <c r="M1309" s="71" t="s">
        <v>1401</v>
      </c>
      <c r="N1309" s="61">
        <v>630</v>
      </c>
      <c r="O1309" s="91">
        <v>467.2</v>
      </c>
      <c r="P1309" s="122"/>
      <c r="Q1309" s="122">
        <f>3</f>
        <v>3</v>
      </c>
      <c r="R1309" s="147">
        <f t="shared" si="150"/>
        <v>470.2</v>
      </c>
      <c r="S1309" s="2">
        <f t="shared" si="151"/>
        <v>0.81124913733609383</v>
      </c>
    </row>
    <row r="1310" spans="1:19" x14ac:dyDescent="0.25">
      <c r="A1310" s="201"/>
      <c r="B1310" s="182"/>
      <c r="C1310" s="182"/>
      <c r="D1310" s="182"/>
      <c r="E1310" s="182"/>
      <c r="F1310" s="170" t="s">
        <v>1402</v>
      </c>
      <c r="G1310" s="171"/>
      <c r="H1310" s="172"/>
      <c r="I1310" s="173"/>
      <c r="J1310" s="209"/>
      <c r="K1310" s="88"/>
      <c r="L1310" s="57">
        <v>3.3000000000000002E-2</v>
      </c>
      <c r="M1310" s="71" t="s">
        <v>1403</v>
      </c>
      <c r="N1310" s="61">
        <v>160</v>
      </c>
      <c r="O1310" s="91">
        <v>33</v>
      </c>
      <c r="P1310" s="122"/>
      <c r="Q1310" s="122"/>
      <c r="R1310" s="147">
        <f t="shared" si="150"/>
        <v>33</v>
      </c>
      <c r="S1310" s="2">
        <f t="shared" si="151"/>
        <v>0.22418478260869562</v>
      </c>
    </row>
    <row r="1311" spans="1:19" x14ac:dyDescent="0.25">
      <c r="A1311" s="201"/>
      <c r="B1311" s="182"/>
      <c r="C1311" s="182"/>
      <c r="D1311" s="182"/>
      <c r="E1311" s="182"/>
      <c r="F1311" s="170" t="s">
        <v>1404</v>
      </c>
      <c r="G1311" s="171"/>
      <c r="H1311" s="172"/>
      <c r="I1311" s="173"/>
      <c r="J1311" s="209"/>
      <c r="K1311" s="181"/>
      <c r="L1311" s="212">
        <v>0.71599999999999997</v>
      </c>
      <c r="M1311" s="71" t="s">
        <v>1398</v>
      </c>
      <c r="N1311" s="160">
        <v>630</v>
      </c>
      <c r="O1311" s="91">
        <v>102</v>
      </c>
      <c r="P1311" s="122"/>
      <c r="Q1311" s="122"/>
      <c r="R1311" s="147">
        <f t="shared" si="150"/>
        <v>102</v>
      </c>
      <c r="S1311" s="2">
        <f t="shared" si="151"/>
        <v>0.17598343685300205</v>
      </c>
    </row>
    <row r="1312" spans="1:19" x14ac:dyDescent="0.25">
      <c r="A1312" s="201"/>
      <c r="B1312" s="182"/>
      <c r="C1312" s="182"/>
      <c r="D1312" s="182"/>
      <c r="E1312" s="182"/>
      <c r="F1312" s="172"/>
      <c r="G1312" s="173"/>
      <c r="H1312" s="172"/>
      <c r="I1312" s="173"/>
      <c r="J1312" s="209"/>
      <c r="K1312" s="182"/>
      <c r="L1312" s="212"/>
      <c r="M1312" s="71" t="s">
        <v>1393</v>
      </c>
      <c r="N1312" s="61">
        <v>400</v>
      </c>
      <c r="O1312" s="57">
        <v>66</v>
      </c>
      <c r="P1312" s="124"/>
      <c r="Q1312" s="124"/>
      <c r="R1312" s="147">
        <f t="shared" si="150"/>
        <v>66</v>
      </c>
      <c r="S1312" s="2">
        <f t="shared" si="151"/>
        <v>0.17934782608695651</v>
      </c>
    </row>
    <row r="1313" spans="1:19" x14ac:dyDescent="0.25">
      <c r="A1313" s="201"/>
      <c r="B1313" s="182"/>
      <c r="C1313" s="182"/>
      <c r="D1313" s="182"/>
      <c r="E1313" s="182"/>
      <c r="F1313" s="172"/>
      <c r="G1313" s="173"/>
      <c r="H1313" s="172"/>
      <c r="I1313" s="173"/>
      <c r="J1313" s="209"/>
      <c r="K1313" s="182"/>
      <c r="L1313" s="212"/>
      <c r="M1313" s="71" t="s">
        <v>1405</v>
      </c>
      <c r="N1313" s="61">
        <v>250</v>
      </c>
      <c r="O1313" s="91">
        <v>198.8</v>
      </c>
      <c r="P1313" s="122"/>
      <c r="Q1313" s="122"/>
      <c r="R1313" s="147">
        <f t="shared" si="150"/>
        <v>198.8</v>
      </c>
      <c r="S1313" s="2">
        <f t="shared" si="151"/>
        <v>0.86434782608695659</v>
      </c>
    </row>
    <row r="1314" spans="1:19" x14ac:dyDescent="0.25">
      <c r="A1314" s="201"/>
      <c r="B1314" s="182"/>
      <c r="C1314" s="182"/>
      <c r="D1314" s="182"/>
      <c r="E1314" s="182"/>
      <c r="F1314" s="172"/>
      <c r="G1314" s="173"/>
      <c r="H1314" s="172"/>
      <c r="I1314" s="173"/>
      <c r="J1314" s="209"/>
      <c r="K1314" s="182"/>
      <c r="L1314" s="212"/>
      <c r="M1314" s="71" t="s">
        <v>1406</v>
      </c>
      <c r="N1314" s="61">
        <v>400</v>
      </c>
      <c r="O1314" s="91">
        <v>318.39999999999998</v>
      </c>
      <c r="P1314" s="122"/>
      <c r="Q1314" s="122"/>
      <c r="R1314" s="147">
        <f t="shared" si="150"/>
        <v>318.39999999999998</v>
      </c>
      <c r="S1314" s="2">
        <f t="shared" si="151"/>
        <v>0.86521739130434772</v>
      </c>
    </row>
    <row r="1315" spans="1:19" x14ac:dyDescent="0.25">
      <c r="A1315" s="201"/>
      <c r="B1315" s="182"/>
      <c r="C1315" s="182"/>
      <c r="D1315" s="182"/>
      <c r="E1315" s="182"/>
      <c r="F1315" s="172"/>
      <c r="G1315" s="173"/>
      <c r="H1315" s="172"/>
      <c r="I1315" s="173"/>
      <c r="J1315" s="209"/>
      <c r="K1315" s="182"/>
      <c r="L1315" s="212"/>
      <c r="M1315" s="71" t="s">
        <v>1407</v>
      </c>
      <c r="N1315" s="61">
        <v>400</v>
      </c>
      <c r="O1315" s="91">
        <v>252.6</v>
      </c>
      <c r="P1315" s="122"/>
      <c r="Q1315" s="122"/>
      <c r="R1315" s="147">
        <f t="shared" si="150"/>
        <v>252.6</v>
      </c>
      <c r="S1315" s="2">
        <f t="shared" si="151"/>
        <v>0.68641304347826082</v>
      </c>
    </row>
    <row r="1316" spans="1:19" x14ac:dyDescent="0.25">
      <c r="A1316" s="201"/>
      <c r="B1316" s="182"/>
      <c r="C1316" s="182"/>
      <c r="D1316" s="182"/>
      <c r="E1316" s="182"/>
      <c r="F1316" s="172"/>
      <c r="G1316" s="173"/>
      <c r="H1316" s="172"/>
      <c r="I1316" s="173"/>
      <c r="J1316" s="209"/>
      <c r="K1316" s="182"/>
      <c r="L1316" s="212"/>
      <c r="M1316" s="71" t="s">
        <v>1399</v>
      </c>
      <c r="N1316" s="61">
        <v>400</v>
      </c>
      <c r="O1316" s="91">
        <v>128.19999999999999</v>
      </c>
      <c r="P1316" s="122"/>
      <c r="Q1316" s="122">
        <f>8</f>
        <v>8</v>
      </c>
      <c r="R1316" s="147">
        <f t="shared" si="150"/>
        <v>136.19999999999999</v>
      </c>
      <c r="S1316" s="2">
        <f t="shared" si="151"/>
        <v>0.37010869565217386</v>
      </c>
    </row>
    <row r="1317" spans="1:19" x14ac:dyDescent="0.25">
      <c r="A1317" s="201"/>
      <c r="B1317" s="182"/>
      <c r="C1317" s="182"/>
      <c r="D1317" s="182"/>
      <c r="E1317" s="182"/>
      <c r="F1317" s="172"/>
      <c r="G1317" s="173"/>
      <c r="H1317" s="172"/>
      <c r="I1317" s="173"/>
      <c r="J1317" s="209"/>
      <c r="K1317" s="182"/>
      <c r="L1317" s="212"/>
      <c r="M1317" s="71" t="s">
        <v>1400</v>
      </c>
      <c r="N1317" s="160">
        <v>630</v>
      </c>
      <c r="O1317" s="91">
        <v>109.1</v>
      </c>
      <c r="P1317" s="122"/>
      <c r="Q1317" s="122"/>
      <c r="R1317" s="147">
        <f t="shared" ref="R1317:R1380" si="152">O1317+P1317+Q1317</f>
        <v>109.1</v>
      </c>
      <c r="S1317" s="2">
        <f t="shared" si="151"/>
        <v>0.18823326432022083</v>
      </c>
    </row>
    <row r="1318" spans="1:19" x14ac:dyDescent="0.25">
      <c r="A1318" s="201"/>
      <c r="B1318" s="182"/>
      <c r="C1318" s="182"/>
      <c r="D1318" s="182"/>
      <c r="E1318" s="182"/>
      <c r="F1318" s="172"/>
      <c r="G1318" s="173"/>
      <c r="H1318" s="172"/>
      <c r="I1318" s="173"/>
      <c r="J1318" s="209"/>
      <c r="K1318" s="182"/>
      <c r="L1318" s="212"/>
      <c r="M1318" s="71" t="s">
        <v>1408</v>
      </c>
      <c r="N1318" s="61">
        <v>630</v>
      </c>
      <c r="O1318" s="91">
        <v>176</v>
      </c>
      <c r="P1318" s="122"/>
      <c r="Q1318" s="122"/>
      <c r="R1318" s="147">
        <f t="shared" si="152"/>
        <v>176</v>
      </c>
      <c r="S1318" s="2">
        <f t="shared" si="151"/>
        <v>0.30365769496204276</v>
      </c>
    </row>
    <row r="1319" spans="1:19" x14ac:dyDescent="0.25">
      <c r="A1319" s="201"/>
      <c r="B1319" s="182"/>
      <c r="C1319" s="182"/>
      <c r="D1319" s="182"/>
      <c r="E1319" s="182"/>
      <c r="F1319" s="172"/>
      <c r="G1319" s="173"/>
      <c r="H1319" s="172"/>
      <c r="I1319" s="173"/>
      <c r="J1319" s="209"/>
      <c r="K1319" s="182"/>
      <c r="L1319" s="212"/>
      <c r="M1319" s="71" t="s">
        <v>1409</v>
      </c>
      <c r="N1319" s="61">
        <v>250</v>
      </c>
      <c r="O1319" s="60">
        <v>103</v>
      </c>
      <c r="P1319" s="127"/>
      <c r="Q1319" s="127" t="s">
        <v>2142</v>
      </c>
      <c r="R1319" s="147">
        <f t="shared" si="152"/>
        <v>158</v>
      </c>
      <c r="S1319" s="2">
        <f t="shared" si="151"/>
        <v>0.68695652173913047</v>
      </c>
    </row>
    <row r="1320" spans="1:19" x14ac:dyDescent="0.25">
      <c r="A1320" s="201"/>
      <c r="B1320" s="182"/>
      <c r="C1320" s="182"/>
      <c r="D1320" s="182"/>
      <c r="E1320" s="182"/>
      <c r="F1320" s="174"/>
      <c r="G1320" s="175"/>
      <c r="H1320" s="172"/>
      <c r="I1320" s="173"/>
      <c r="J1320" s="209"/>
      <c r="K1320" s="183"/>
      <c r="L1320" s="212"/>
      <c r="M1320" s="71" t="s">
        <v>1410</v>
      </c>
      <c r="N1320" s="61">
        <v>400</v>
      </c>
      <c r="O1320" s="57" t="s">
        <v>1348</v>
      </c>
      <c r="P1320" s="124"/>
      <c r="Q1320" s="122">
        <f xml:space="preserve"> 12+7+10+10+10+15</f>
        <v>64</v>
      </c>
      <c r="R1320" s="147">
        <f t="shared" si="152"/>
        <v>64</v>
      </c>
      <c r="S1320" s="2">
        <f t="shared" si="151"/>
        <v>0.17391304347826086</v>
      </c>
    </row>
    <row r="1321" spans="1:19" x14ac:dyDescent="0.25">
      <c r="A1321" s="201"/>
      <c r="B1321" s="182"/>
      <c r="C1321" s="182"/>
      <c r="D1321" s="182"/>
      <c r="E1321" s="182"/>
      <c r="F1321" s="170" t="s">
        <v>1411</v>
      </c>
      <c r="G1321" s="171"/>
      <c r="H1321" s="172"/>
      <c r="I1321" s="173"/>
      <c r="J1321" s="209"/>
      <c r="K1321" s="181"/>
      <c r="L1321" s="212">
        <v>1.1919999999999999</v>
      </c>
      <c r="M1321" s="84" t="s">
        <v>1412</v>
      </c>
      <c r="N1321" s="61">
        <f>2*400</f>
        <v>800</v>
      </c>
      <c r="O1321" s="57">
        <v>300</v>
      </c>
      <c r="P1321" s="124"/>
      <c r="Q1321" s="124"/>
      <c r="R1321" s="147">
        <f t="shared" si="152"/>
        <v>300</v>
      </c>
      <c r="S1321" s="2">
        <f t="shared" si="151"/>
        <v>0.40760869565217389</v>
      </c>
    </row>
    <row r="1322" spans="1:19" x14ac:dyDescent="0.25">
      <c r="A1322" s="201"/>
      <c r="B1322" s="182"/>
      <c r="C1322" s="182"/>
      <c r="D1322" s="182"/>
      <c r="E1322" s="182"/>
      <c r="F1322" s="174"/>
      <c r="G1322" s="175"/>
      <c r="H1322" s="172"/>
      <c r="I1322" s="173"/>
      <c r="J1322" s="209"/>
      <c r="K1322" s="183"/>
      <c r="L1322" s="212"/>
      <c r="M1322" s="71" t="s">
        <v>1413</v>
      </c>
      <c r="N1322" s="1">
        <f>2*630</f>
        <v>1260</v>
      </c>
      <c r="O1322" s="91">
        <v>57</v>
      </c>
      <c r="P1322" s="122"/>
      <c r="Q1322" s="122"/>
      <c r="R1322" s="147">
        <f t="shared" si="152"/>
        <v>57</v>
      </c>
      <c r="S1322" s="2">
        <f t="shared" si="151"/>
        <v>4.917184265010352E-2</v>
      </c>
    </row>
    <row r="1323" spans="1:19" hidden="1" x14ac:dyDescent="0.25">
      <c r="A1323" s="201"/>
      <c r="B1323" s="182"/>
      <c r="C1323" s="182"/>
      <c r="D1323" s="182"/>
      <c r="E1323" s="182"/>
      <c r="F1323" s="170" t="s">
        <v>1414</v>
      </c>
      <c r="G1323" s="171"/>
      <c r="H1323" s="172"/>
      <c r="I1323" s="173"/>
      <c r="J1323" s="209"/>
      <c r="K1323" s="181"/>
      <c r="L1323" s="212">
        <v>1.2210000000000001</v>
      </c>
      <c r="M1323" s="84" t="s">
        <v>1412</v>
      </c>
      <c r="N1323" s="61"/>
      <c r="O1323" s="64" t="s">
        <v>1348</v>
      </c>
      <c r="P1323" s="130"/>
      <c r="Q1323" s="130"/>
      <c r="R1323" s="147">
        <f t="shared" si="152"/>
        <v>0</v>
      </c>
      <c r="S1323" s="59"/>
    </row>
    <row r="1324" spans="1:19" hidden="1" x14ac:dyDescent="0.25">
      <c r="A1324" s="201"/>
      <c r="B1324" s="182"/>
      <c r="C1324" s="182"/>
      <c r="D1324" s="182"/>
      <c r="E1324" s="182"/>
      <c r="F1324" s="174"/>
      <c r="G1324" s="175"/>
      <c r="H1324" s="172"/>
      <c r="I1324" s="173"/>
      <c r="J1324" s="209"/>
      <c r="K1324" s="183"/>
      <c r="L1324" s="212"/>
      <c r="M1324" s="71" t="s">
        <v>1415</v>
      </c>
      <c r="N1324" s="61">
        <v>63</v>
      </c>
      <c r="O1324" s="58" t="s">
        <v>1348</v>
      </c>
      <c r="P1324" s="126"/>
      <c r="Q1324" s="126"/>
      <c r="R1324" s="147">
        <f t="shared" si="152"/>
        <v>0</v>
      </c>
      <c r="S1324" s="59"/>
    </row>
    <row r="1325" spans="1:19" hidden="1" x14ac:dyDescent="0.25">
      <c r="A1325" s="201"/>
      <c r="B1325" s="182"/>
      <c r="C1325" s="182"/>
      <c r="D1325" s="182"/>
      <c r="E1325" s="182"/>
      <c r="F1325" s="170" t="s">
        <v>1416</v>
      </c>
      <c r="G1325" s="171"/>
      <c r="H1325" s="172"/>
      <c r="I1325" s="173"/>
      <c r="J1325" s="209"/>
      <c r="K1325" s="181"/>
      <c r="L1325" s="212">
        <v>0.78800000000000003</v>
      </c>
      <c r="M1325" s="71" t="s">
        <v>1382</v>
      </c>
      <c r="N1325" s="61" t="s">
        <v>1372</v>
      </c>
      <c r="O1325" s="64" t="s">
        <v>1348</v>
      </c>
      <c r="P1325" s="130"/>
      <c r="Q1325" s="130"/>
      <c r="R1325" s="147">
        <f t="shared" si="152"/>
        <v>0</v>
      </c>
      <c r="S1325" s="59"/>
    </row>
    <row r="1326" spans="1:19" x14ac:dyDescent="0.25">
      <c r="A1326" s="201"/>
      <c r="B1326" s="182"/>
      <c r="C1326" s="182"/>
      <c r="D1326" s="182"/>
      <c r="E1326" s="182"/>
      <c r="F1326" s="172"/>
      <c r="G1326" s="173"/>
      <c r="H1326" s="172"/>
      <c r="I1326" s="173"/>
      <c r="J1326" s="209"/>
      <c r="K1326" s="182"/>
      <c r="L1326" s="212"/>
      <c r="M1326" s="71" t="s">
        <v>1417</v>
      </c>
      <c r="N1326" s="61">
        <v>400</v>
      </c>
      <c r="O1326" s="91">
        <v>56.8</v>
      </c>
      <c r="P1326" s="122"/>
      <c r="Q1326" s="122">
        <f>10+10</f>
        <v>20</v>
      </c>
      <c r="R1326" s="147">
        <f t="shared" si="152"/>
        <v>76.8</v>
      </c>
      <c r="S1326" s="2">
        <f t="shared" ref="S1326:S1327" si="153">R1326/(N1326*0.92)</f>
        <v>0.20869565217391303</v>
      </c>
    </row>
    <row r="1327" spans="1:19" x14ac:dyDescent="0.25">
      <c r="A1327" s="201"/>
      <c r="B1327" s="182"/>
      <c r="C1327" s="182"/>
      <c r="D1327" s="182"/>
      <c r="E1327" s="182"/>
      <c r="F1327" s="172"/>
      <c r="G1327" s="173"/>
      <c r="H1327" s="172"/>
      <c r="I1327" s="173"/>
      <c r="J1327" s="209"/>
      <c r="K1327" s="182"/>
      <c r="L1327" s="212"/>
      <c r="M1327" s="71" t="s">
        <v>1418</v>
      </c>
      <c r="N1327" s="160">
        <v>250</v>
      </c>
      <c r="O1327" s="91">
        <v>257.2</v>
      </c>
      <c r="P1327" s="122"/>
      <c r="Q1327" s="122"/>
      <c r="R1327" s="147">
        <f t="shared" si="152"/>
        <v>257.2</v>
      </c>
      <c r="S1327" s="2">
        <f t="shared" si="153"/>
        <v>1.1182608695652174</v>
      </c>
    </row>
    <row r="1328" spans="1:19" hidden="1" x14ac:dyDescent="0.25">
      <c r="A1328" s="201"/>
      <c r="B1328" s="182"/>
      <c r="C1328" s="182"/>
      <c r="D1328" s="182"/>
      <c r="E1328" s="182"/>
      <c r="F1328" s="172"/>
      <c r="G1328" s="173"/>
      <c r="H1328" s="172"/>
      <c r="I1328" s="173"/>
      <c r="J1328" s="209"/>
      <c r="K1328" s="182"/>
      <c r="L1328" s="212"/>
      <c r="M1328" s="71" t="s">
        <v>1387</v>
      </c>
      <c r="N1328" s="61" t="s">
        <v>1347</v>
      </c>
      <c r="O1328" s="64" t="s">
        <v>1348</v>
      </c>
      <c r="P1328" s="130"/>
      <c r="Q1328" s="130"/>
      <c r="R1328" s="147">
        <f t="shared" si="152"/>
        <v>0</v>
      </c>
      <c r="S1328" s="59"/>
    </row>
    <row r="1329" spans="1:19" x14ac:dyDescent="0.25">
      <c r="A1329" s="201"/>
      <c r="B1329" s="182"/>
      <c r="C1329" s="182"/>
      <c r="D1329" s="182"/>
      <c r="E1329" s="182"/>
      <c r="F1329" s="172"/>
      <c r="G1329" s="173"/>
      <c r="H1329" s="172"/>
      <c r="I1329" s="173"/>
      <c r="J1329" s="209"/>
      <c r="K1329" s="183"/>
      <c r="L1329" s="212"/>
      <c r="M1329" s="71" t="s">
        <v>1419</v>
      </c>
      <c r="N1329" s="160">
        <v>250</v>
      </c>
      <c r="O1329" s="91">
        <v>21.6</v>
      </c>
      <c r="P1329" s="122"/>
      <c r="Q1329" s="122"/>
      <c r="R1329" s="147">
        <f t="shared" si="152"/>
        <v>21.6</v>
      </c>
      <c r="S1329" s="2">
        <f t="shared" ref="S1329:S1372" si="154">R1329/(N1329*0.92)</f>
        <v>9.3913043478260877E-2</v>
      </c>
    </row>
    <row r="1330" spans="1:19" x14ac:dyDescent="0.25">
      <c r="A1330" s="201"/>
      <c r="B1330" s="182"/>
      <c r="C1330" s="182"/>
      <c r="D1330" s="182"/>
      <c r="E1330" s="182"/>
      <c r="F1330" s="170" t="s">
        <v>1420</v>
      </c>
      <c r="G1330" s="171"/>
      <c r="H1330" s="172"/>
      <c r="I1330" s="173"/>
      <c r="J1330" s="209"/>
      <c r="K1330" s="181">
        <v>0</v>
      </c>
      <c r="L1330" s="212">
        <v>0.14299999999999999</v>
      </c>
      <c r="M1330" s="71" t="s">
        <v>1421</v>
      </c>
      <c r="N1330" s="61">
        <v>400</v>
      </c>
      <c r="O1330" s="57">
        <v>360</v>
      </c>
      <c r="P1330" s="124"/>
      <c r="Q1330" s="124"/>
      <c r="R1330" s="147">
        <f t="shared" si="152"/>
        <v>360</v>
      </c>
      <c r="S1330" s="2">
        <f t="shared" si="154"/>
        <v>0.97826086956521741</v>
      </c>
    </row>
    <row r="1331" spans="1:19" x14ac:dyDescent="0.25">
      <c r="A1331" s="201"/>
      <c r="B1331" s="182"/>
      <c r="C1331" s="182"/>
      <c r="D1331" s="182"/>
      <c r="E1331" s="182"/>
      <c r="F1331" s="172"/>
      <c r="G1331" s="173"/>
      <c r="H1331" s="172"/>
      <c r="I1331" s="173"/>
      <c r="J1331" s="209"/>
      <c r="K1331" s="182"/>
      <c r="L1331" s="212"/>
      <c r="M1331" s="71" t="s">
        <v>1422</v>
      </c>
      <c r="N1331" s="91">
        <v>400</v>
      </c>
      <c r="O1331" s="57">
        <v>383</v>
      </c>
      <c r="P1331" s="124"/>
      <c r="Q1331" s="124"/>
      <c r="R1331" s="147">
        <f t="shared" si="152"/>
        <v>383</v>
      </c>
      <c r="S1331" s="2">
        <f t="shared" si="154"/>
        <v>1.0407608695652173</v>
      </c>
    </row>
    <row r="1332" spans="1:19" x14ac:dyDescent="0.25">
      <c r="A1332" s="201"/>
      <c r="B1332" s="182"/>
      <c r="C1332" s="182"/>
      <c r="D1332" s="182"/>
      <c r="E1332" s="182"/>
      <c r="F1332" s="172"/>
      <c r="G1332" s="173"/>
      <c r="H1332" s="172"/>
      <c r="I1332" s="173"/>
      <c r="J1332" s="209"/>
      <c r="K1332" s="182"/>
      <c r="L1332" s="212"/>
      <c r="M1332" s="71" t="s">
        <v>1423</v>
      </c>
      <c r="N1332" s="160">
        <v>250</v>
      </c>
      <c r="O1332" s="47">
        <v>201.2</v>
      </c>
      <c r="P1332" s="125"/>
      <c r="Q1332" s="125"/>
      <c r="R1332" s="147">
        <f t="shared" si="152"/>
        <v>201.2</v>
      </c>
      <c r="S1332" s="2">
        <f t="shared" si="154"/>
        <v>0.87478260869565216</v>
      </c>
    </row>
    <row r="1333" spans="1:19" x14ac:dyDescent="0.25">
      <c r="A1333" s="201"/>
      <c r="B1333" s="182"/>
      <c r="C1333" s="182"/>
      <c r="D1333" s="182"/>
      <c r="E1333" s="182"/>
      <c r="F1333" s="172"/>
      <c r="G1333" s="173"/>
      <c r="H1333" s="172"/>
      <c r="I1333" s="173"/>
      <c r="J1333" s="209"/>
      <c r="K1333" s="182"/>
      <c r="L1333" s="212"/>
      <c r="M1333" s="71" t="s">
        <v>1424</v>
      </c>
      <c r="N1333" s="61">
        <v>630</v>
      </c>
      <c r="O1333" s="91">
        <v>341.4</v>
      </c>
      <c r="P1333" s="122"/>
      <c r="Q1333" s="122"/>
      <c r="R1333" s="147">
        <f t="shared" si="152"/>
        <v>341.4</v>
      </c>
      <c r="S1333" s="2">
        <f t="shared" si="154"/>
        <v>0.58902691511387162</v>
      </c>
    </row>
    <row r="1334" spans="1:19" x14ac:dyDescent="0.25">
      <c r="A1334" s="201"/>
      <c r="B1334" s="182"/>
      <c r="C1334" s="182"/>
      <c r="D1334" s="182"/>
      <c r="E1334" s="182"/>
      <c r="F1334" s="172"/>
      <c r="G1334" s="173"/>
      <c r="H1334" s="172"/>
      <c r="I1334" s="173"/>
      <c r="J1334" s="209"/>
      <c r="K1334" s="182"/>
      <c r="L1334" s="212"/>
      <c r="M1334" s="71" t="s">
        <v>1418</v>
      </c>
      <c r="N1334" s="61">
        <v>250</v>
      </c>
      <c r="O1334" s="91">
        <v>42.4</v>
      </c>
      <c r="P1334" s="122"/>
      <c r="Q1334" s="122"/>
      <c r="R1334" s="147">
        <f t="shared" si="152"/>
        <v>42.4</v>
      </c>
      <c r="S1334" s="2">
        <f t="shared" si="154"/>
        <v>0.18434782608695652</v>
      </c>
    </row>
    <row r="1335" spans="1:19" x14ac:dyDescent="0.25">
      <c r="A1335" s="201"/>
      <c r="B1335" s="182"/>
      <c r="C1335" s="182"/>
      <c r="D1335" s="182"/>
      <c r="E1335" s="182"/>
      <c r="F1335" s="172"/>
      <c r="G1335" s="173"/>
      <c r="H1335" s="172"/>
      <c r="I1335" s="173"/>
      <c r="J1335" s="209"/>
      <c r="K1335" s="183"/>
      <c r="L1335" s="212"/>
      <c r="M1335" s="71" t="s">
        <v>1419</v>
      </c>
      <c r="N1335" s="160">
        <v>250</v>
      </c>
      <c r="O1335" s="91">
        <v>50.6</v>
      </c>
      <c r="P1335" s="122"/>
      <c r="Q1335" s="122"/>
      <c r="R1335" s="147">
        <f t="shared" si="152"/>
        <v>50.6</v>
      </c>
      <c r="S1335" s="2">
        <f t="shared" si="154"/>
        <v>0.22</v>
      </c>
    </row>
    <row r="1336" spans="1:19" x14ac:dyDescent="0.25">
      <c r="A1336" s="201"/>
      <c r="B1336" s="182"/>
      <c r="C1336" s="182"/>
      <c r="D1336" s="182"/>
      <c r="E1336" s="182"/>
      <c r="F1336" s="176" t="s">
        <v>1425</v>
      </c>
      <c r="G1336" s="177"/>
      <c r="H1336" s="172"/>
      <c r="I1336" s="173"/>
      <c r="J1336" s="209"/>
      <c r="K1336" s="88"/>
      <c r="L1336" s="91">
        <v>0.1</v>
      </c>
      <c r="M1336" s="71" t="s">
        <v>1379</v>
      </c>
      <c r="N1336" s="160">
        <v>630</v>
      </c>
      <c r="O1336" s="91">
        <v>8.4</v>
      </c>
      <c r="P1336" s="122"/>
      <c r="Q1336" s="122"/>
      <c r="R1336" s="147">
        <f t="shared" si="152"/>
        <v>8.4</v>
      </c>
      <c r="S1336" s="2">
        <f t="shared" si="154"/>
        <v>1.4492753623188406E-2</v>
      </c>
    </row>
    <row r="1337" spans="1:19" x14ac:dyDescent="0.25">
      <c r="A1337" s="201"/>
      <c r="B1337" s="182"/>
      <c r="C1337" s="182"/>
      <c r="D1337" s="182"/>
      <c r="E1337" s="182"/>
      <c r="F1337" s="193" t="s">
        <v>1426</v>
      </c>
      <c r="G1337" s="194"/>
      <c r="H1337" s="172"/>
      <c r="I1337" s="173"/>
      <c r="J1337" s="209"/>
      <c r="K1337" s="181"/>
      <c r="L1337" s="212">
        <v>1.341</v>
      </c>
      <c r="M1337" s="71" t="s">
        <v>1427</v>
      </c>
      <c r="N1337" s="66">
        <v>400</v>
      </c>
      <c r="O1337" s="91">
        <v>12</v>
      </c>
      <c r="P1337" s="122"/>
      <c r="Q1337" s="122"/>
      <c r="R1337" s="147">
        <f t="shared" si="152"/>
        <v>12</v>
      </c>
      <c r="S1337" s="2">
        <f t="shared" si="154"/>
        <v>3.2608695652173912E-2</v>
      </c>
    </row>
    <row r="1338" spans="1:19" x14ac:dyDescent="0.25">
      <c r="A1338" s="201"/>
      <c r="B1338" s="182"/>
      <c r="C1338" s="182"/>
      <c r="D1338" s="182"/>
      <c r="E1338" s="182"/>
      <c r="F1338" s="195"/>
      <c r="G1338" s="196"/>
      <c r="H1338" s="172"/>
      <c r="I1338" s="173"/>
      <c r="J1338" s="209"/>
      <c r="K1338" s="182"/>
      <c r="L1338" s="212"/>
      <c r="M1338" s="71" t="s">
        <v>1428</v>
      </c>
      <c r="N1338" s="66">
        <v>100</v>
      </c>
      <c r="O1338" s="91">
        <v>0.8</v>
      </c>
      <c r="P1338" s="122"/>
      <c r="Q1338" s="122"/>
      <c r="R1338" s="147">
        <f t="shared" si="152"/>
        <v>0.8</v>
      </c>
      <c r="S1338" s="2">
        <f t="shared" si="154"/>
        <v>8.6956521739130436E-3</v>
      </c>
    </row>
    <row r="1339" spans="1:19" x14ac:dyDescent="0.25">
      <c r="A1339" s="201"/>
      <c r="B1339" s="182"/>
      <c r="C1339" s="182"/>
      <c r="D1339" s="182"/>
      <c r="E1339" s="182"/>
      <c r="F1339" s="195"/>
      <c r="G1339" s="196"/>
      <c r="H1339" s="172"/>
      <c r="I1339" s="173"/>
      <c r="J1339" s="209"/>
      <c r="K1339" s="182"/>
      <c r="L1339" s="212"/>
      <c r="M1339" s="67" t="s">
        <v>1429</v>
      </c>
      <c r="N1339" s="66">
        <f>400+250</f>
        <v>650</v>
      </c>
      <c r="O1339" s="91">
        <v>74.8</v>
      </c>
      <c r="P1339" s="122"/>
      <c r="Q1339" s="122"/>
      <c r="R1339" s="147">
        <f t="shared" si="152"/>
        <v>74.8</v>
      </c>
      <c r="S1339" s="2">
        <f t="shared" si="154"/>
        <v>0.12508361204013377</v>
      </c>
    </row>
    <row r="1340" spans="1:19" x14ac:dyDescent="0.25">
      <c r="A1340" s="201"/>
      <c r="B1340" s="182"/>
      <c r="C1340" s="182"/>
      <c r="D1340" s="182"/>
      <c r="E1340" s="182"/>
      <c r="F1340" s="195"/>
      <c r="G1340" s="196"/>
      <c r="H1340" s="172"/>
      <c r="I1340" s="173"/>
      <c r="J1340" s="209"/>
      <c r="K1340" s="182"/>
      <c r="L1340" s="212"/>
      <c r="M1340" s="67" t="s">
        <v>1430</v>
      </c>
      <c r="N1340" s="86">
        <f>2*400</f>
        <v>800</v>
      </c>
      <c r="O1340" s="91">
        <v>103.2</v>
      </c>
      <c r="P1340" s="122"/>
      <c r="Q1340" s="122"/>
      <c r="R1340" s="147">
        <f t="shared" si="152"/>
        <v>103.2</v>
      </c>
      <c r="S1340" s="2">
        <f t="shared" si="154"/>
        <v>0.14021739130434782</v>
      </c>
    </row>
    <row r="1341" spans="1:19" x14ac:dyDescent="0.25">
      <c r="A1341" s="201"/>
      <c r="B1341" s="182"/>
      <c r="C1341" s="182"/>
      <c r="D1341" s="182"/>
      <c r="E1341" s="182"/>
      <c r="F1341" s="195"/>
      <c r="G1341" s="196"/>
      <c r="H1341" s="172"/>
      <c r="I1341" s="173"/>
      <c r="J1341" s="209"/>
      <c r="K1341" s="182"/>
      <c r="L1341" s="212"/>
      <c r="M1341" s="67" t="s">
        <v>1431</v>
      </c>
      <c r="N1341" s="67">
        <v>400</v>
      </c>
      <c r="O1341" s="91">
        <v>363.4</v>
      </c>
      <c r="P1341" s="122"/>
      <c r="Q1341" s="122">
        <f>10</f>
        <v>10</v>
      </c>
      <c r="R1341" s="147">
        <f t="shared" si="152"/>
        <v>373.4</v>
      </c>
      <c r="S1341" s="2">
        <f t="shared" si="154"/>
        <v>1.0146739130434781</v>
      </c>
    </row>
    <row r="1342" spans="1:19" x14ac:dyDescent="0.25">
      <c r="A1342" s="201"/>
      <c r="B1342" s="182"/>
      <c r="C1342" s="182"/>
      <c r="D1342" s="182"/>
      <c r="E1342" s="182"/>
      <c r="F1342" s="195"/>
      <c r="G1342" s="196"/>
      <c r="H1342" s="172"/>
      <c r="I1342" s="173"/>
      <c r="J1342" s="209"/>
      <c r="K1342" s="182"/>
      <c r="L1342" s="212"/>
      <c r="M1342" s="67" t="s">
        <v>1432</v>
      </c>
      <c r="N1342" s="67">
        <v>400</v>
      </c>
      <c r="O1342" s="91">
        <v>131.6</v>
      </c>
      <c r="P1342" s="122"/>
      <c r="Q1342" s="122">
        <f>40+15</f>
        <v>55</v>
      </c>
      <c r="R1342" s="147">
        <f t="shared" si="152"/>
        <v>186.6</v>
      </c>
      <c r="S1342" s="2">
        <f t="shared" si="154"/>
        <v>0.50706521739130428</v>
      </c>
    </row>
    <row r="1343" spans="1:19" x14ac:dyDescent="0.25">
      <c r="A1343" s="201"/>
      <c r="B1343" s="182"/>
      <c r="C1343" s="182"/>
      <c r="D1343" s="182"/>
      <c r="E1343" s="182"/>
      <c r="F1343" s="195"/>
      <c r="G1343" s="196"/>
      <c r="H1343" s="172"/>
      <c r="I1343" s="173"/>
      <c r="J1343" s="209"/>
      <c r="K1343" s="182"/>
      <c r="L1343" s="212"/>
      <c r="M1343" s="67" t="s">
        <v>1433</v>
      </c>
      <c r="N1343" s="67">
        <v>400</v>
      </c>
      <c r="O1343" s="91">
        <v>165.2</v>
      </c>
      <c r="P1343" s="122"/>
      <c r="Q1343" s="122">
        <f>30</f>
        <v>30</v>
      </c>
      <c r="R1343" s="147">
        <f t="shared" si="152"/>
        <v>195.2</v>
      </c>
      <c r="S1343" s="2">
        <f t="shared" si="154"/>
        <v>0.53043478260869559</v>
      </c>
    </row>
    <row r="1344" spans="1:19" x14ac:dyDescent="0.25">
      <c r="A1344" s="201"/>
      <c r="B1344" s="182"/>
      <c r="C1344" s="182"/>
      <c r="D1344" s="182"/>
      <c r="E1344" s="182"/>
      <c r="F1344" s="195"/>
      <c r="G1344" s="196"/>
      <c r="H1344" s="172"/>
      <c r="I1344" s="173"/>
      <c r="J1344" s="209"/>
      <c r="K1344" s="182"/>
      <c r="L1344" s="212"/>
      <c r="M1344" s="67" t="s">
        <v>1434</v>
      </c>
      <c r="N1344" s="67">
        <v>160</v>
      </c>
      <c r="O1344" s="91">
        <v>94</v>
      </c>
      <c r="P1344" s="122"/>
      <c r="Q1344" s="122"/>
      <c r="R1344" s="147">
        <f t="shared" si="152"/>
        <v>94</v>
      </c>
      <c r="S1344" s="2">
        <f t="shared" si="154"/>
        <v>0.63858695652173902</v>
      </c>
    </row>
    <row r="1345" spans="1:19" x14ac:dyDescent="0.25">
      <c r="A1345" s="201"/>
      <c r="B1345" s="182"/>
      <c r="C1345" s="182"/>
      <c r="D1345" s="182"/>
      <c r="E1345" s="182"/>
      <c r="F1345" s="195"/>
      <c r="G1345" s="196"/>
      <c r="H1345" s="172"/>
      <c r="I1345" s="173"/>
      <c r="J1345" s="209"/>
      <c r="K1345" s="182"/>
      <c r="L1345" s="212"/>
      <c r="M1345" s="67" t="s">
        <v>1435</v>
      </c>
      <c r="N1345" s="67">
        <v>160</v>
      </c>
      <c r="O1345" s="91">
        <v>183.2</v>
      </c>
      <c r="P1345" s="122"/>
      <c r="Q1345" s="122"/>
      <c r="R1345" s="147">
        <f t="shared" si="152"/>
        <v>183.2</v>
      </c>
      <c r="S1345" s="2">
        <f t="shared" si="154"/>
        <v>1.2445652173913042</v>
      </c>
    </row>
    <row r="1346" spans="1:19" x14ac:dyDescent="0.25">
      <c r="A1346" s="201"/>
      <c r="B1346" s="182"/>
      <c r="C1346" s="182"/>
      <c r="D1346" s="182"/>
      <c r="E1346" s="182"/>
      <c r="F1346" s="195"/>
      <c r="G1346" s="196"/>
      <c r="H1346" s="172"/>
      <c r="I1346" s="173"/>
      <c r="J1346" s="209"/>
      <c r="K1346" s="182"/>
      <c r="L1346" s="212"/>
      <c r="M1346" s="67" t="s">
        <v>1436</v>
      </c>
      <c r="N1346" s="67">
        <v>100</v>
      </c>
      <c r="O1346" s="91">
        <v>68.400000000000006</v>
      </c>
      <c r="P1346" s="122"/>
      <c r="Q1346" s="122">
        <f>10</f>
        <v>10</v>
      </c>
      <c r="R1346" s="147">
        <f t="shared" si="152"/>
        <v>78.400000000000006</v>
      </c>
      <c r="S1346" s="2">
        <f t="shared" si="154"/>
        <v>0.85217391304347834</v>
      </c>
    </row>
    <row r="1347" spans="1:19" x14ac:dyDescent="0.25">
      <c r="A1347" s="201"/>
      <c r="B1347" s="182"/>
      <c r="C1347" s="182"/>
      <c r="D1347" s="182"/>
      <c r="E1347" s="182"/>
      <c r="F1347" s="197"/>
      <c r="G1347" s="198"/>
      <c r="H1347" s="172"/>
      <c r="I1347" s="173"/>
      <c r="J1347" s="209"/>
      <c r="K1347" s="183"/>
      <c r="L1347" s="212"/>
      <c r="M1347" s="67" t="s">
        <v>1437</v>
      </c>
      <c r="N1347" s="86">
        <f>2*400</f>
        <v>800</v>
      </c>
      <c r="O1347" s="91">
        <v>92.8</v>
      </c>
      <c r="P1347" s="122"/>
      <c r="Q1347" s="122"/>
      <c r="R1347" s="147">
        <f t="shared" si="152"/>
        <v>92.8</v>
      </c>
      <c r="S1347" s="2">
        <f t="shared" si="154"/>
        <v>0.12608695652173912</v>
      </c>
    </row>
    <row r="1348" spans="1:19" ht="17.25" customHeight="1" x14ac:dyDescent="0.25">
      <c r="A1348" s="201"/>
      <c r="B1348" s="182"/>
      <c r="C1348" s="182"/>
      <c r="D1348" s="182"/>
      <c r="E1348" s="182"/>
      <c r="F1348" s="193" t="s">
        <v>1438</v>
      </c>
      <c r="G1348" s="194"/>
      <c r="H1348" s="172"/>
      <c r="I1348" s="173"/>
      <c r="J1348" s="209"/>
      <c r="K1348" s="181">
        <v>0</v>
      </c>
      <c r="L1348" s="275">
        <v>0.89400000000000002</v>
      </c>
      <c r="M1348" s="67" t="s">
        <v>1439</v>
      </c>
      <c r="N1348" s="67">
        <v>400</v>
      </c>
      <c r="O1348" s="91">
        <v>254.6</v>
      </c>
      <c r="P1348" s="122"/>
      <c r="Q1348" s="122"/>
      <c r="R1348" s="147">
        <f t="shared" si="152"/>
        <v>254.6</v>
      </c>
      <c r="S1348" s="2">
        <f t="shared" si="154"/>
        <v>0.6918478260869565</v>
      </c>
    </row>
    <row r="1349" spans="1:19" x14ac:dyDescent="0.25">
      <c r="A1349" s="201"/>
      <c r="B1349" s="182"/>
      <c r="C1349" s="182"/>
      <c r="D1349" s="182"/>
      <c r="E1349" s="182"/>
      <c r="F1349" s="195"/>
      <c r="G1349" s="196"/>
      <c r="H1349" s="172"/>
      <c r="I1349" s="173"/>
      <c r="J1349" s="209"/>
      <c r="K1349" s="182"/>
      <c r="L1349" s="275"/>
      <c r="M1349" s="67" t="s">
        <v>1440</v>
      </c>
      <c r="N1349" s="67">
        <v>250</v>
      </c>
      <c r="O1349" s="91">
        <v>64.599999999999994</v>
      </c>
      <c r="P1349" s="122"/>
      <c r="Q1349" s="122">
        <f>15+15</f>
        <v>30</v>
      </c>
      <c r="R1349" s="147">
        <f t="shared" si="152"/>
        <v>94.6</v>
      </c>
      <c r="S1349" s="2">
        <f t="shared" si="154"/>
        <v>0.41130434782608694</v>
      </c>
    </row>
    <row r="1350" spans="1:19" x14ac:dyDescent="0.25">
      <c r="A1350" s="201"/>
      <c r="B1350" s="182"/>
      <c r="C1350" s="182"/>
      <c r="D1350" s="182"/>
      <c r="E1350" s="182"/>
      <c r="F1350" s="195"/>
      <c r="G1350" s="196"/>
      <c r="H1350" s="172"/>
      <c r="I1350" s="173"/>
      <c r="J1350" s="209"/>
      <c r="K1350" s="182"/>
      <c r="L1350" s="275"/>
      <c r="M1350" s="67" t="s">
        <v>1441</v>
      </c>
      <c r="N1350" s="67">
        <v>400</v>
      </c>
      <c r="O1350" s="91">
        <v>41.4</v>
      </c>
      <c r="P1350" s="122"/>
      <c r="Q1350" s="122"/>
      <c r="R1350" s="147">
        <f t="shared" si="152"/>
        <v>41.4</v>
      </c>
      <c r="S1350" s="2">
        <f t="shared" si="154"/>
        <v>0.1125</v>
      </c>
    </row>
    <row r="1351" spans="1:19" x14ac:dyDescent="0.25">
      <c r="A1351" s="201"/>
      <c r="B1351" s="182"/>
      <c r="C1351" s="182"/>
      <c r="D1351" s="182"/>
      <c r="E1351" s="182"/>
      <c r="F1351" s="195"/>
      <c r="G1351" s="196"/>
      <c r="H1351" s="172"/>
      <c r="I1351" s="173"/>
      <c r="J1351" s="209"/>
      <c r="K1351" s="182"/>
      <c r="L1351" s="275"/>
      <c r="M1351" s="67" t="s">
        <v>1442</v>
      </c>
      <c r="N1351" s="67">
        <v>250</v>
      </c>
      <c r="O1351" s="58">
        <v>52</v>
      </c>
      <c r="P1351" s="126"/>
      <c r="Q1351" s="126"/>
      <c r="R1351" s="147">
        <f t="shared" si="152"/>
        <v>52</v>
      </c>
      <c r="S1351" s="2">
        <f t="shared" si="154"/>
        <v>0.22608695652173913</v>
      </c>
    </row>
    <row r="1352" spans="1:19" x14ac:dyDescent="0.25">
      <c r="A1352" s="201"/>
      <c r="B1352" s="182"/>
      <c r="C1352" s="182"/>
      <c r="D1352" s="182"/>
      <c r="E1352" s="182"/>
      <c r="F1352" s="195"/>
      <c r="G1352" s="196"/>
      <c r="H1352" s="172"/>
      <c r="I1352" s="173"/>
      <c r="J1352" s="209"/>
      <c r="K1352" s="182"/>
      <c r="L1352" s="275"/>
      <c r="M1352" s="67" t="s">
        <v>1443</v>
      </c>
      <c r="N1352" s="67">
        <v>400</v>
      </c>
      <c r="O1352" s="47">
        <v>149.19999999999999</v>
      </c>
      <c r="P1352" s="125"/>
      <c r="Q1352" s="125"/>
      <c r="R1352" s="147">
        <f t="shared" si="152"/>
        <v>149.19999999999999</v>
      </c>
      <c r="S1352" s="2">
        <f t="shared" si="154"/>
        <v>0.40543478260869564</v>
      </c>
    </row>
    <row r="1353" spans="1:19" x14ac:dyDescent="0.25">
      <c r="A1353" s="201"/>
      <c r="B1353" s="182"/>
      <c r="C1353" s="182"/>
      <c r="D1353" s="182"/>
      <c r="E1353" s="182"/>
      <c r="F1353" s="195"/>
      <c r="G1353" s="196"/>
      <c r="H1353" s="172"/>
      <c r="I1353" s="173"/>
      <c r="J1353" s="209"/>
      <c r="K1353" s="182"/>
      <c r="L1353" s="275"/>
      <c r="M1353" s="67" t="s">
        <v>1444</v>
      </c>
      <c r="N1353" s="67">
        <v>400</v>
      </c>
      <c r="O1353" s="47">
        <v>149.80000000000001</v>
      </c>
      <c r="P1353" s="125"/>
      <c r="Q1353" s="125"/>
      <c r="R1353" s="147">
        <f t="shared" si="152"/>
        <v>149.80000000000001</v>
      </c>
      <c r="S1353" s="2">
        <f t="shared" si="154"/>
        <v>0.40706521739130436</v>
      </c>
    </row>
    <row r="1354" spans="1:19" x14ac:dyDescent="0.25">
      <c r="A1354" s="201"/>
      <c r="B1354" s="182"/>
      <c r="C1354" s="182"/>
      <c r="D1354" s="182"/>
      <c r="E1354" s="182"/>
      <c r="F1354" s="195"/>
      <c r="G1354" s="196"/>
      <c r="H1354" s="172"/>
      <c r="I1354" s="173"/>
      <c r="J1354" s="209"/>
      <c r="K1354" s="182"/>
      <c r="L1354" s="275"/>
      <c r="M1354" s="67" t="s">
        <v>1445</v>
      </c>
      <c r="N1354" s="67">
        <v>400</v>
      </c>
      <c r="O1354" s="47">
        <v>261.39999999999998</v>
      </c>
      <c r="P1354" s="125"/>
      <c r="Q1354" s="125"/>
      <c r="R1354" s="147">
        <f t="shared" si="152"/>
        <v>261.39999999999998</v>
      </c>
      <c r="S1354" s="2">
        <f t="shared" si="154"/>
        <v>0.71032608695652166</v>
      </c>
    </row>
    <row r="1355" spans="1:19" x14ac:dyDescent="0.25">
      <c r="A1355" s="201"/>
      <c r="B1355" s="182"/>
      <c r="C1355" s="182"/>
      <c r="D1355" s="182"/>
      <c r="E1355" s="182"/>
      <c r="F1355" s="195"/>
      <c r="G1355" s="196"/>
      <c r="H1355" s="172"/>
      <c r="I1355" s="173"/>
      <c r="J1355" s="209"/>
      <c r="K1355" s="182"/>
      <c r="L1355" s="275"/>
      <c r="M1355" s="67" t="s">
        <v>1446</v>
      </c>
      <c r="N1355" s="67">
        <v>400</v>
      </c>
      <c r="O1355" s="47">
        <v>211.8</v>
      </c>
      <c r="P1355" s="125"/>
      <c r="Q1355" s="125"/>
      <c r="R1355" s="147">
        <f t="shared" si="152"/>
        <v>211.8</v>
      </c>
      <c r="S1355" s="2">
        <f t="shared" si="154"/>
        <v>0.5755434782608696</v>
      </c>
    </row>
    <row r="1356" spans="1:19" x14ac:dyDescent="0.25">
      <c r="A1356" s="201"/>
      <c r="B1356" s="182"/>
      <c r="C1356" s="182"/>
      <c r="D1356" s="182"/>
      <c r="E1356" s="182"/>
      <c r="F1356" s="195"/>
      <c r="G1356" s="196"/>
      <c r="H1356" s="172"/>
      <c r="I1356" s="173"/>
      <c r="J1356" s="209"/>
      <c r="K1356" s="182"/>
      <c r="L1356" s="275"/>
      <c r="M1356" s="67" t="s">
        <v>1447</v>
      </c>
      <c r="N1356" s="67">
        <v>400</v>
      </c>
      <c r="O1356" s="47">
        <v>55.8</v>
      </c>
      <c r="P1356" s="125"/>
      <c r="Q1356" s="125"/>
      <c r="R1356" s="147">
        <f t="shared" si="152"/>
        <v>55.8</v>
      </c>
      <c r="S1356" s="2">
        <f t="shared" si="154"/>
        <v>0.15163043478260868</v>
      </c>
    </row>
    <row r="1357" spans="1:19" x14ac:dyDescent="0.25">
      <c r="A1357" s="201"/>
      <c r="B1357" s="182"/>
      <c r="C1357" s="182"/>
      <c r="D1357" s="182"/>
      <c r="E1357" s="182"/>
      <c r="F1357" s="195"/>
      <c r="G1357" s="196"/>
      <c r="H1357" s="172"/>
      <c r="I1357" s="173"/>
      <c r="J1357" s="209"/>
      <c r="K1357" s="182"/>
      <c r="L1357" s="275"/>
      <c r="M1357" s="67" t="s">
        <v>1448</v>
      </c>
      <c r="N1357" s="67">
        <v>100</v>
      </c>
      <c r="O1357" s="47">
        <v>76.2</v>
      </c>
      <c r="P1357" s="125"/>
      <c r="Q1357" s="125"/>
      <c r="R1357" s="147">
        <f t="shared" si="152"/>
        <v>76.2</v>
      </c>
      <c r="S1357" s="2">
        <f t="shared" si="154"/>
        <v>0.82826086956521738</v>
      </c>
    </row>
    <row r="1358" spans="1:19" x14ac:dyDescent="0.25">
      <c r="A1358" s="201"/>
      <c r="B1358" s="182"/>
      <c r="C1358" s="182"/>
      <c r="D1358" s="182"/>
      <c r="E1358" s="182"/>
      <c r="F1358" s="195"/>
      <c r="G1358" s="196"/>
      <c r="H1358" s="172"/>
      <c r="I1358" s="173"/>
      <c r="J1358" s="209"/>
      <c r="K1358" s="182"/>
      <c r="L1358" s="275"/>
      <c r="M1358" s="67" t="s">
        <v>1449</v>
      </c>
      <c r="N1358" s="67">
        <v>40</v>
      </c>
      <c r="O1358" s="47">
        <v>2.2000000000000002</v>
      </c>
      <c r="P1358" s="125"/>
      <c r="Q1358" s="125"/>
      <c r="R1358" s="147">
        <f t="shared" si="152"/>
        <v>2.2000000000000002</v>
      </c>
      <c r="S1358" s="2">
        <f t="shared" si="154"/>
        <v>5.9782608695652169E-2</v>
      </c>
    </row>
    <row r="1359" spans="1:19" x14ac:dyDescent="0.25">
      <c r="A1359" s="201"/>
      <c r="B1359" s="182"/>
      <c r="C1359" s="182"/>
      <c r="D1359" s="182"/>
      <c r="E1359" s="182"/>
      <c r="F1359" s="195"/>
      <c r="G1359" s="196"/>
      <c r="H1359" s="172"/>
      <c r="I1359" s="173"/>
      <c r="J1359" s="209"/>
      <c r="K1359" s="182"/>
      <c r="L1359" s="275"/>
      <c r="M1359" s="67" t="s">
        <v>1450</v>
      </c>
      <c r="N1359" s="67">
        <v>40</v>
      </c>
      <c r="O1359" s="47">
        <v>1.4</v>
      </c>
      <c r="P1359" s="125"/>
      <c r="Q1359" s="125"/>
      <c r="R1359" s="147">
        <f t="shared" si="152"/>
        <v>1.4</v>
      </c>
      <c r="S1359" s="2">
        <f t="shared" si="154"/>
        <v>3.8043478260869561E-2</v>
      </c>
    </row>
    <row r="1360" spans="1:19" x14ac:dyDescent="0.25">
      <c r="A1360" s="201"/>
      <c r="B1360" s="182"/>
      <c r="C1360" s="182"/>
      <c r="D1360" s="182"/>
      <c r="E1360" s="182"/>
      <c r="F1360" s="195"/>
      <c r="G1360" s="196"/>
      <c r="H1360" s="172"/>
      <c r="I1360" s="173"/>
      <c r="J1360" s="209"/>
      <c r="K1360" s="182"/>
      <c r="L1360" s="275"/>
      <c r="M1360" s="67" t="s">
        <v>1451</v>
      </c>
      <c r="N1360" s="67">
        <v>63</v>
      </c>
      <c r="O1360" s="47">
        <v>13.2</v>
      </c>
      <c r="P1360" s="125"/>
      <c r="Q1360" s="125"/>
      <c r="R1360" s="147">
        <f t="shared" si="152"/>
        <v>13.2</v>
      </c>
      <c r="S1360" s="2">
        <f t="shared" si="154"/>
        <v>0.22774327122153207</v>
      </c>
    </row>
    <row r="1361" spans="1:19" x14ac:dyDescent="0.25">
      <c r="A1361" s="201"/>
      <c r="B1361" s="182"/>
      <c r="C1361" s="182"/>
      <c r="D1361" s="182"/>
      <c r="E1361" s="182"/>
      <c r="F1361" s="195"/>
      <c r="G1361" s="196"/>
      <c r="H1361" s="172"/>
      <c r="I1361" s="173"/>
      <c r="J1361" s="209"/>
      <c r="K1361" s="182"/>
      <c r="L1361" s="275"/>
      <c r="M1361" s="67" t="s">
        <v>1452</v>
      </c>
      <c r="N1361" s="67">
        <v>250</v>
      </c>
      <c r="O1361" s="47">
        <v>24.6</v>
      </c>
      <c r="P1361" s="125"/>
      <c r="Q1361" s="125">
        <f>15</f>
        <v>15</v>
      </c>
      <c r="R1361" s="147">
        <f t="shared" si="152"/>
        <v>39.6</v>
      </c>
      <c r="S1361" s="2">
        <f t="shared" si="154"/>
        <v>0.17217391304347826</v>
      </c>
    </row>
    <row r="1362" spans="1:19" x14ac:dyDescent="0.25">
      <c r="A1362" s="201"/>
      <c r="B1362" s="182"/>
      <c r="C1362" s="182"/>
      <c r="D1362" s="182"/>
      <c r="E1362" s="182"/>
      <c r="F1362" s="197"/>
      <c r="G1362" s="198"/>
      <c r="H1362" s="172"/>
      <c r="I1362" s="173"/>
      <c r="J1362" s="209"/>
      <c r="K1362" s="183"/>
      <c r="L1362" s="275"/>
      <c r="M1362" s="67" t="s">
        <v>1453</v>
      </c>
      <c r="N1362" s="91">
        <v>100</v>
      </c>
      <c r="O1362" s="47">
        <v>9</v>
      </c>
      <c r="P1362" s="125"/>
      <c r="Q1362" s="125">
        <f>15</f>
        <v>15</v>
      </c>
      <c r="R1362" s="147">
        <f t="shared" si="152"/>
        <v>24</v>
      </c>
      <c r="S1362" s="2">
        <f t="shared" si="154"/>
        <v>0.2608695652173913</v>
      </c>
    </row>
    <row r="1363" spans="1:19" x14ac:dyDescent="0.25">
      <c r="A1363" s="201"/>
      <c r="B1363" s="182"/>
      <c r="C1363" s="182"/>
      <c r="D1363" s="182"/>
      <c r="E1363" s="182"/>
      <c r="F1363" s="172" t="s">
        <v>1454</v>
      </c>
      <c r="G1363" s="173"/>
      <c r="H1363" s="172"/>
      <c r="I1363" s="173"/>
      <c r="J1363" s="209"/>
      <c r="K1363" s="181">
        <v>0</v>
      </c>
      <c r="L1363" s="169">
        <v>2.16</v>
      </c>
      <c r="M1363" s="71" t="s">
        <v>1375</v>
      </c>
      <c r="N1363" s="160">
        <v>250</v>
      </c>
      <c r="O1363" s="47">
        <v>83</v>
      </c>
      <c r="P1363" s="125"/>
      <c r="Q1363" s="125"/>
      <c r="R1363" s="147">
        <f t="shared" si="152"/>
        <v>83</v>
      </c>
      <c r="S1363" s="2">
        <f t="shared" si="154"/>
        <v>0.36086956521739133</v>
      </c>
    </row>
    <row r="1364" spans="1:19" x14ac:dyDescent="0.25">
      <c r="A1364" s="201"/>
      <c r="B1364" s="182"/>
      <c r="C1364" s="182"/>
      <c r="D1364" s="182"/>
      <c r="E1364" s="182"/>
      <c r="F1364" s="172"/>
      <c r="G1364" s="173"/>
      <c r="H1364" s="172"/>
      <c r="I1364" s="173"/>
      <c r="J1364" s="209"/>
      <c r="K1364" s="182"/>
      <c r="L1364" s="169"/>
      <c r="M1364" s="71" t="s">
        <v>1455</v>
      </c>
      <c r="N1364" s="91">
        <v>630</v>
      </c>
      <c r="O1364" s="58">
        <v>319</v>
      </c>
      <c r="P1364" s="126"/>
      <c r="Q1364" s="126"/>
      <c r="R1364" s="147">
        <f t="shared" si="152"/>
        <v>319</v>
      </c>
      <c r="S1364" s="2">
        <f t="shared" si="154"/>
        <v>0.55037957211870259</v>
      </c>
    </row>
    <row r="1365" spans="1:19" x14ac:dyDescent="0.25">
      <c r="A1365" s="201"/>
      <c r="B1365" s="182"/>
      <c r="C1365" s="182"/>
      <c r="D1365" s="182"/>
      <c r="E1365" s="182"/>
      <c r="F1365" s="172"/>
      <c r="G1365" s="173"/>
      <c r="H1365" s="172"/>
      <c r="I1365" s="173"/>
      <c r="J1365" s="209"/>
      <c r="K1365" s="182"/>
      <c r="L1365" s="169"/>
      <c r="M1365" s="71" t="s">
        <v>1456</v>
      </c>
      <c r="N1365" s="91">
        <v>630</v>
      </c>
      <c r="O1365" s="47">
        <v>322.39999999999998</v>
      </c>
      <c r="P1365" s="125"/>
      <c r="Q1365" s="125"/>
      <c r="R1365" s="147">
        <f t="shared" si="152"/>
        <v>322.39999999999998</v>
      </c>
      <c r="S1365" s="2">
        <f t="shared" si="154"/>
        <v>0.55624568668046925</v>
      </c>
    </row>
    <row r="1366" spans="1:19" x14ac:dyDescent="0.25">
      <c r="A1366" s="201"/>
      <c r="B1366" s="182"/>
      <c r="C1366" s="182"/>
      <c r="D1366" s="182"/>
      <c r="E1366" s="182"/>
      <c r="F1366" s="172"/>
      <c r="G1366" s="173"/>
      <c r="H1366" s="172"/>
      <c r="I1366" s="173"/>
      <c r="J1366" s="209"/>
      <c r="K1366" s="182"/>
      <c r="L1366" s="169"/>
      <c r="M1366" s="71" t="s">
        <v>1457</v>
      </c>
      <c r="N1366" s="91">
        <v>250</v>
      </c>
      <c r="O1366" s="47">
        <v>308.39999999999998</v>
      </c>
      <c r="P1366" s="125"/>
      <c r="Q1366" s="125">
        <f>1</f>
        <v>1</v>
      </c>
      <c r="R1366" s="147">
        <f t="shared" si="152"/>
        <v>309.39999999999998</v>
      </c>
      <c r="S1366" s="2">
        <f t="shared" si="154"/>
        <v>1.3452173913043477</v>
      </c>
    </row>
    <row r="1367" spans="1:19" x14ac:dyDescent="0.25">
      <c r="A1367" s="201"/>
      <c r="B1367" s="182"/>
      <c r="C1367" s="182"/>
      <c r="D1367" s="182"/>
      <c r="E1367" s="182"/>
      <c r="F1367" s="172"/>
      <c r="G1367" s="173"/>
      <c r="H1367" s="172"/>
      <c r="I1367" s="173"/>
      <c r="J1367" s="209"/>
      <c r="K1367" s="182"/>
      <c r="L1367" s="169"/>
      <c r="M1367" s="71" t="s">
        <v>1458</v>
      </c>
      <c r="N1367" s="91">
        <v>630</v>
      </c>
      <c r="O1367" s="58">
        <v>490</v>
      </c>
      <c r="P1367" s="126"/>
      <c r="Q1367" s="126"/>
      <c r="R1367" s="147">
        <f t="shared" si="152"/>
        <v>490</v>
      </c>
      <c r="S1367" s="2">
        <f t="shared" si="154"/>
        <v>0.84541062801932365</v>
      </c>
    </row>
    <row r="1368" spans="1:19" x14ac:dyDescent="0.25">
      <c r="A1368" s="201"/>
      <c r="B1368" s="182"/>
      <c r="C1368" s="182"/>
      <c r="D1368" s="182"/>
      <c r="E1368" s="182"/>
      <c r="F1368" s="172"/>
      <c r="G1368" s="173"/>
      <c r="H1368" s="172"/>
      <c r="I1368" s="173"/>
      <c r="J1368" s="209"/>
      <c r="K1368" s="182"/>
      <c r="L1368" s="169"/>
      <c r="M1368" s="71" t="s">
        <v>1459</v>
      </c>
      <c r="N1368" s="91">
        <v>250</v>
      </c>
      <c r="O1368" s="47">
        <v>259.39999999999998</v>
      </c>
      <c r="P1368" s="125"/>
      <c r="Q1368" s="125"/>
      <c r="R1368" s="147">
        <f t="shared" si="152"/>
        <v>259.39999999999998</v>
      </c>
      <c r="S1368" s="2">
        <f t="shared" si="154"/>
        <v>1.1278260869565215</v>
      </c>
    </row>
    <row r="1369" spans="1:19" x14ac:dyDescent="0.25">
      <c r="A1369" s="201"/>
      <c r="B1369" s="182"/>
      <c r="C1369" s="182"/>
      <c r="D1369" s="182"/>
      <c r="E1369" s="182"/>
      <c r="F1369" s="172"/>
      <c r="G1369" s="173"/>
      <c r="H1369" s="172"/>
      <c r="I1369" s="173"/>
      <c r="J1369" s="209"/>
      <c r="K1369" s="182"/>
      <c r="L1369" s="169"/>
      <c r="M1369" s="71" t="s">
        <v>1460</v>
      </c>
      <c r="N1369" s="61">
        <v>160</v>
      </c>
      <c r="O1369" s="47">
        <v>35.6</v>
      </c>
      <c r="P1369" s="125"/>
      <c r="Q1369" s="125"/>
      <c r="R1369" s="147">
        <f t="shared" si="152"/>
        <v>35.6</v>
      </c>
      <c r="S1369" s="2">
        <f t="shared" si="154"/>
        <v>0.24184782608695651</v>
      </c>
    </row>
    <row r="1370" spans="1:19" x14ac:dyDescent="0.25">
      <c r="A1370" s="201"/>
      <c r="B1370" s="182"/>
      <c r="C1370" s="182"/>
      <c r="D1370" s="182"/>
      <c r="E1370" s="182"/>
      <c r="F1370" s="172"/>
      <c r="G1370" s="173"/>
      <c r="H1370" s="172"/>
      <c r="I1370" s="173"/>
      <c r="J1370" s="209"/>
      <c r="K1370" s="182"/>
      <c r="L1370" s="169"/>
      <c r="M1370" s="71" t="s">
        <v>1371</v>
      </c>
      <c r="N1370" s="61">
        <v>400</v>
      </c>
      <c r="O1370" s="58">
        <v>113</v>
      </c>
      <c r="P1370" s="126"/>
      <c r="Q1370" s="126"/>
      <c r="R1370" s="147">
        <f t="shared" si="152"/>
        <v>113</v>
      </c>
      <c r="S1370" s="2">
        <f t="shared" si="154"/>
        <v>0.30706521739130432</v>
      </c>
    </row>
    <row r="1371" spans="1:19" x14ac:dyDescent="0.25">
      <c r="A1371" s="201"/>
      <c r="B1371" s="182"/>
      <c r="C1371" s="182"/>
      <c r="D1371" s="182"/>
      <c r="E1371" s="182"/>
      <c r="F1371" s="172"/>
      <c r="G1371" s="173"/>
      <c r="H1371" s="172"/>
      <c r="I1371" s="173"/>
      <c r="J1371" s="209"/>
      <c r="K1371" s="182"/>
      <c r="L1371" s="169"/>
      <c r="M1371" s="71" t="s">
        <v>1461</v>
      </c>
      <c r="N1371" s="91">
        <v>250</v>
      </c>
      <c r="O1371" s="47">
        <v>108</v>
      </c>
      <c r="P1371" s="125"/>
      <c r="Q1371" s="125"/>
      <c r="R1371" s="147">
        <f t="shared" si="152"/>
        <v>108</v>
      </c>
      <c r="S1371" s="2">
        <f t="shared" si="154"/>
        <v>0.46956521739130436</v>
      </c>
    </row>
    <row r="1372" spans="1:19" x14ac:dyDescent="0.25">
      <c r="A1372" s="201"/>
      <c r="B1372" s="182"/>
      <c r="C1372" s="182"/>
      <c r="D1372" s="182"/>
      <c r="E1372" s="182"/>
      <c r="F1372" s="172"/>
      <c r="G1372" s="173"/>
      <c r="H1372" s="172"/>
      <c r="I1372" s="173"/>
      <c r="J1372" s="209"/>
      <c r="K1372" s="182"/>
      <c r="L1372" s="169"/>
      <c r="M1372" s="71" t="s">
        <v>1462</v>
      </c>
      <c r="N1372" s="160">
        <v>250</v>
      </c>
      <c r="O1372" s="47">
        <v>0.4</v>
      </c>
      <c r="P1372" s="125"/>
      <c r="Q1372" s="125"/>
      <c r="R1372" s="147">
        <f t="shared" si="152"/>
        <v>0.4</v>
      </c>
      <c r="S1372" s="2">
        <f t="shared" si="154"/>
        <v>1.7391304347826088E-3</v>
      </c>
    </row>
    <row r="1373" spans="1:19" hidden="1" x14ac:dyDescent="0.25">
      <c r="A1373" s="201"/>
      <c r="B1373" s="182"/>
      <c r="C1373" s="182"/>
      <c r="D1373" s="182"/>
      <c r="E1373" s="182"/>
      <c r="F1373" s="172"/>
      <c r="G1373" s="173"/>
      <c r="H1373" s="172"/>
      <c r="I1373" s="173"/>
      <c r="J1373" s="209"/>
      <c r="K1373" s="182"/>
      <c r="L1373" s="169"/>
      <c r="M1373" s="71" t="s">
        <v>1463</v>
      </c>
      <c r="N1373" s="91" t="s">
        <v>1345</v>
      </c>
      <c r="O1373" s="64" t="s">
        <v>1348</v>
      </c>
      <c r="P1373" s="130"/>
      <c r="Q1373" s="130"/>
      <c r="R1373" s="147">
        <f t="shared" si="152"/>
        <v>0</v>
      </c>
      <c r="S1373" s="59"/>
    </row>
    <row r="1374" spans="1:19" x14ac:dyDescent="0.25">
      <c r="A1374" s="201"/>
      <c r="B1374" s="182"/>
      <c r="C1374" s="182"/>
      <c r="D1374" s="182"/>
      <c r="E1374" s="182"/>
      <c r="F1374" s="174"/>
      <c r="G1374" s="175"/>
      <c r="H1374" s="172"/>
      <c r="I1374" s="173"/>
      <c r="J1374" s="209"/>
      <c r="K1374" s="183"/>
      <c r="L1374" s="169"/>
      <c r="M1374" s="71" t="s">
        <v>1464</v>
      </c>
      <c r="N1374" s="91">
        <v>630</v>
      </c>
      <c r="O1374" s="47">
        <v>34.4</v>
      </c>
      <c r="P1374" s="125"/>
      <c r="Q1374" s="125"/>
      <c r="R1374" s="147">
        <f t="shared" si="152"/>
        <v>34.4</v>
      </c>
      <c r="S1374" s="2">
        <f t="shared" ref="S1374:S1376" si="155">R1374/(N1374*0.92)</f>
        <v>5.9351276742581088E-2</v>
      </c>
    </row>
    <row r="1375" spans="1:19" ht="12" customHeight="1" x14ac:dyDescent="0.25">
      <c r="A1375" s="201"/>
      <c r="B1375" s="182"/>
      <c r="C1375" s="182"/>
      <c r="D1375" s="182"/>
      <c r="E1375" s="182"/>
      <c r="F1375" s="172" t="s">
        <v>1465</v>
      </c>
      <c r="G1375" s="173"/>
      <c r="H1375" s="172"/>
      <c r="I1375" s="173"/>
      <c r="J1375" s="209"/>
      <c r="K1375" s="181"/>
      <c r="L1375" s="169">
        <v>0.73</v>
      </c>
      <c r="M1375" s="71" t="s">
        <v>1466</v>
      </c>
      <c r="N1375" s="91">
        <v>630</v>
      </c>
      <c r="O1375" s="91">
        <v>140.6</v>
      </c>
      <c r="P1375" s="122"/>
      <c r="Q1375" s="122"/>
      <c r="R1375" s="147">
        <f t="shared" si="152"/>
        <v>140.6</v>
      </c>
      <c r="S1375" s="2">
        <f t="shared" si="155"/>
        <v>0.24258109040717735</v>
      </c>
    </row>
    <row r="1376" spans="1:19" x14ac:dyDescent="0.25">
      <c r="A1376" s="201"/>
      <c r="B1376" s="182"/>
      <c r="C1376" s="182"/>
      <c r="D1376" s="182"/>
      <c r="E1376" s="182"/>
      <c r="F1376" s="172"/>
      <c r="G1376" s="173"/>
      <c r="H1376" s="172"/>
      <c r="I1376" s="173"/>
      <c r="J1376" s="209"/>
      <c r="K1376" s="182"/>
      <c r="L1376" s="169"/>
      <c r="M1376" s="71" t="s">
        <v>1467</v>
      </c>
      <c r="N1376" s="91">
        <v>40</v>
      </c>
      <c r="O1376" s="91">
        <v>16</v>
      </c>
      <c r="P1376" s="122"/>
      <c r="Q1376" s="122">
        <f>2</f>
        <v>2</v>
      </c>
      <c r="R1376" s="147">
        <f t="shared" si="152"/>
        <v>18</v>
      </c>
      <c r="S1376" s="2">
        <f t="shared" si="155"/>
        <v>0.48913043478260865</v>
      </c>
    </row>
    <row r="1377" spans="1:19" hidden="1" x14ac:dyDescent="0.25">
      <c r="A1377" s="201"/>
      <c r="B1377" s="182"/>
      <c r="C1377" s="182"/>
      <c r="D1377" s="182"/>
      <c r="E1377" s="182"/>
      <c r="F1377" s="172"/>
      <c r="G1377" s="173"/>
      <c r="H1377" s="172"/>
      <c r="I1377" s="173"/>
      <c r="J1377" s="209"/>
      <c r="K1377" s="182"/>
      <c r="L1377" s="169"/>
      <c r="M1377" s="71" t="s">
        <v>1463</v>
      </c>
      <c r="N1377" s="91" t="s">
        <v>1362</v>
      </c>
      <c r="O1377" s="64" t="s">
        <v>1348</v>
      </c>
      <c r="P1377" s="130"/>
      <c r="Q1377" s="130"/>
      <c r="R1377" s="147">
        <f t="shared" si="152"/>
        <v>0</v>
      </c>
      <c r="S1377" s="59"/>
    </row>
    <row r="1378" spans="1:19" x14ac:dyDescent="0.25">
      <c r="A1378" s="201"/>
      <c r="B1378" s="182"/>
      <c r="C1378" s="182"/>
      <c r="D1378" s="182"/>
      <c r="E1378" s="182"/>
      <c r="F1378" s="172"/>
      <c r="G1378" s="173"/>
      <c r="H1378" s="172"/>
      <c r="I1378" s="173"/>
      <c r="J1378" s="209"/>
      <c r="K1378" s="182"/>
      <c r="L1378" s="169"/>
      <c r="M1378" s="71" t="s">
        <v>1468</v>
      </c>
      <c r="N1378" s="14">
        <f>2*160</f>
        <v>320</v>
      </c>
      <c r="O1378" s="91">
        <v>80.599999999999994</v>
      </c>
      <c r="P1378" s="122"/>
      <c r="Q1378" s="122">
        <f>1+15+3</f>
        <v>19</v>
      </c>
      <c r="R1378" s="147">
        <f t="shared" si="152"/>
        <v>99.6</v>
      </c>
      <c r="S1378" s="2">
        <f t="shared" ref="S1378:S1389" si="156">R1378/(N1378*0.92)</f>
        <v>0.33831521739130427</v>
      </c>
    </row>
    <row r="1379" spans="1:19" x14ac:dyDescent="0.25">
      <c r="A1379" s="201"/>
      <c r="B1379" s="182"/>
      <c r="C1379" s="182"/>
      <c r="D1379" s="182"/>
      <c r="E1379" s="182"/>
      <c r="F1379" s="172"/>
      <c r="G1379" s="173"/>
      <c r="H1379" s="172"/>
      <c r="I1379" s="173"/>
      <c r="J1379" s="209"/>
      <c r="K1379" s="182"/>
      <c r="L1379" s="169"/>
      <c r="M1379" s="71" t="s">
        <v>1469</v>
      </c>
      <c r="N1379" s="91">
        <v>160</v>
      </c>
      <c r="O1379" s="91">
        <v>29.4</v>
      </c>
      <c r="P1379" s="122"/>
      <c r="Q1379" s="122"/>
      <c r="R1379" s="147">
        <f t="shared" si="152"/>
        <v>29.4</v>
      </c>
      <c r="S1379" s="2">
        <f t="shared" si="156"/>
        <v>0.19972826086956519</v>
      </c>
    </row>
    <row r="1380" spans="1:19" x14ac:dyDescent="0.25">
      <c r="A1380" s="201"/>
      <c r="B1380" s="182"/>
      <c r="C1380" s="182"/>
      <c r="D1380" s="182"/>
      <c r="E1380" s="182"/>
      <c r="F1380" s="172"/>
      <c r="G1380" s="173"/>
      <c r="H1380" s="172"/>
      <c r="I1380" s="173"/>
      <c r="J1380" s="209"/>
      <c r="K1380" s="182"/>
      <c r="L1380" s="169"/>
      <c r="M1380" s="71" t="s">
        <v>1470</v>
      </c>
      <c r="N1380" s="91">
        <v>250</v>
      </c>
      <c r="O1380" s="91">
        <v>180.4</v>
      </c>
      <c r="P1380" s="122"/>
      <c r="Q1380" s="122">
        <f>10+10+10+10</f>
        <v>40</v>
      </c>
      <c r="R1380" s="147">
        <f t="shared" si="152"/>
        <v>220.4</v>
      </c>
      <c r="S1380" s="2">
        <f t="shared" si="156"/>
        <v>0.95826086956521739</v>
      </c>
    </row>
    <row r="1381" spans="1:19" x14ac:dyDescent="0.25">
      <c r="A1381" s="201"/>
      <c r="B1381" s="182"/>
      <c r="C1381" s="182"/>
      <c r="D1381" s="182"/>
      <c r="E1381" s="182"/>
      <c r="F1381" s="172"/>
      <c r="G1381" s="173"/>
      <c r="H1381" s="172"/>
      <c r="I1381" s="173"/>
      <c r="J1381" s="209"/>
      <c r="K1381" s="182"/>
      <c r="L1381" s="169"/>
      <c r="M1381" s="71" t="s">
        <v>1471</v>
      </c>
      <c r="N1381" s="91">
        <v>160</v>
      </c>
      <c r="O1381" s="91">
        <v>96.8</v>
      </c>
      <c r="P1381" s="122"/>
      <c r="Q1381" s="122"/>
      <c r="R1381" s="147">
        <f t="shared" ref="R1381:R1444" si="157">O1381+P1381+Q1381</f>
        <v>96.8</v>
      </c>
      <c r="S1381" s="2">
        <f t="shared" si="156"/>
        <v>0.65760869565217384</v>
      </c>
    </row>
    <row r="1382" spans="1:19" x14ac:dyDescent="0.25">
      <c r="A1382" s="201"/>
      <c r="B1382" s="182"/>
      <c r="C1382" s="182"/>
      <c r="D1382" s="182"/>
      <c r="E1382" s="182"/>
      <c r="F1382" s="172"/>
      <c r="G1382" s="173"/>
      <c r="H1382" s="172"/>
      <c r="I1382" s="173"/>
      <c r="J1382" s="209"/>
      <c r="K1382" s="182"/>
      <c r="L1382" s="169"/>
      <c r="M1382" s="71" t="s">
        <v>1472</v>
      </c>
      <c r="N1382" s="91">
        <v>250</v>
      </c>
      <c r="O1382" s="91">
        <v>251.6</v>
      </c>
      <c r="P1382" s="122"/>
      <c r="Q1382" s="122"/>
      <c r="R1382" s="147">
        <f t="shared" si="157"/>
        <v>251.6</v>
      </c>
      <c r="S1382" s="2">
        <f t="shared" si="156"/>
        <v>1.0939130434782609</v>
      </c>
    </row>
    <row r="1383" spans="1:19" x14ac:dyDescent="0.25">
      <c r="A1383" s="201"/>
      <c r="B1383" s="182"/>
      <c r="C1383" s="182"/>
      <c r="D1383" s="182"/>
      <c r="E1383" s="182"/>
      <c r="F1383" s="172"/>
      <c r="G1383" s="173"/>
      <c r="H1383" s="172"/>
      <c r="I1383" s="173"/>
      <c r="J1383" s="209"/>
      <c r="K1383" s="182"/>
      <c r="L1383" s="169"/>
      <c r="M1383" s="71" t="s">
        <v>1473</v>
      </c>
      <c r="N1383" s="91">
        <v>250</v>
      </c>
      <c r="O1383" s="91">
        <v>243</v>
      </c>
      <c r="P1383" s="122"/>
      <c r="Q1383" s="122"/>
      <c r="R1383" s="147">
        <f t="shared" si="157"/>
        <v>243</v>
      </c>
      <c r="S1383" s="2">
        <f t="shared" si="156"/>
        <v>1.0565217391304347</v>
      </c>
    </row>
    <row r="1384" spans="1:19" x14ac:dyDescent="0.25">
      <c r="A1384" s="201"/>
      <c r="B1384" s="182"/>
      <c r="C1384" s="182"/>
      <c r="D1384" s="182"/>
      <c r="E1384" s="182"/>
      <c r="F1384" s="174"/>
      <c r="G1384" s="175"/>
      <c r="H1384" s="172"/>
      <c r="I1384" s="173"/>
      <c r="J1384" s="209"/>
      <c r="K1384" s="183"/>
      <c r="L1384" s="169"/>
      <c r="M1384" s="71" t="s">
        <v>1474</v>
      </c>
      <c r="N1384" s="91">
        <v>250</v>
      </c>
      <c r="O1384" s="57">
        <v>42</v>
      </c>
      <c r="P1384" s="124"/>
      <c r="Q1384" s="124"/>
      <c r="R1384" s="147">
        <f t="shared" si="157"/>
        <v>42</v>
      </c>
      <c r="S1384" s="2">
        <f t="shared" si="156"/>
        <v>0.18260869565217391</v>
      </c>
    </row>
    <row r="1385" spans="1:19" x14ac:dyDescent="0.25">
      <c r="A1385" s="201"/>
      <c r="B1385" s="182"/>
      <c r="C1385" s="182"/>
      <c r="D1385" s="182"/>
      <c r="E1385" s="182"/>
      <c r="F1385" s="170" t="s">
        <v>1475</v>
      </c>
      <c r="G1385" s="171"/>
      <c r="H1385" s="172"/>
      <c r="I1385" s="173"/>
      <c r="J1385" s="209"/>
      <c r="K1385" s="181"/>
      <c r="L1385" s="169">
        <v>0.17899999999999999</v>
      </c>
      <c r="M1385" s="71" t="s">
        <v>1476</v>
      </c>
      <c r="N1385" s="47">
        <v>160</v>
      </c>
      <c r="O1385" s="47">
        <v>29</v>
      </c>
      <c r="P1385" s="125"/>
      <c r="Q1385" s="125"/>
      <c r="R1385" s="147">
        <f t="shared" si="157"/>
        <v>29</v>
      </c>
      <c r="S1385" s="2">
        <f t="shared" si="156"/>
        <v>0.19701086956521738</v>
      </c>
    </row>
    <row r="1386" spans="1:19" x14ac:dyDescent="0.25">
      <c r="A1386" s="201"/>
      <c r="B1386" s="182"/>
      <c r="C1386" s="182"/>
      <c r="D1386" s="182"/>
      <c r="E1386" s="182"/>
      <c r="F1386" s="172"/>
      <c r="G1386" s="173"/>
      <c r="H1386" s="172"/>
      <c r="I1386" s="173"/>
      <c r="J1386" s="209"/>
      <c r="K1386" s="182"/>
      <c r="L1386" s="169"/>
      <c r="M1386" s="71" t="s">
        <v>1477</v>
      </c>
      <c r="N1386" s="47">
        <v>400</v>
      </c>
      <c r="O1386" s="91">
        <v>43.8</v>
      </c>
      <c r="P1386" s="122"/>
      <c r="Q1386" s="122"/>
      <c r="R1386" s="147">
        <f t="shared" si="157"/>
        <v>43.8</v>
      </c>
      <c r="S1386" s="2">
        <f t="shared" si="156"/>
        <v>0.11902173913043478</v>
      </c>
    </row>
    <row r="1387" spans="1:19" x14ac:dyDescent="0.25">
      <c r="A1387" s="201"/>
      <c r="B1387" s="182"/>
      <c r="C1387" s="182"/>
      <c r="D1387" s="182"/>
      <c r="E1387" s="182"/>
      <c r="F1387" s="172"/>
      <c r="G1387" s="173"/>
      <c r="H1387" s="172"/>
      <c r="I1387" s="173"/>
      <c r="J1387" s="209"/>
      <c r="K1387" s="182"/>
      <c r="L1387" s="169"/>
      <c r="M1387" s="71" t="s">
        <v>1478</v>
      </c>
      <c r="N1387" s="47">
        <v>630</v>
      </c>
      <c r="O1387" s="91">
        <v>79.599999999999994</v>
      </c>
      <c r="P1387" s="122"/>
      <c r="Q1387" s="122"/>
      <c r="R1387" s="147">
        <f t="shared" si="157"/>
        <v>79.599999999999994</v>
      </c>
      <c r="S1387" s="2">
        <f t="shared" si="156"/>
        <v>0.13733609385783296</v>
      </c>
    </row>
    <row r="1388" spans="1:19" x14ac:dyDescent="0.25">
      <c r="A1388" s="201"/>
      <c r="B1388" s="182"/>
      <c r="C1388" s="182"/>
      <c r="D1388" s="182"/>
      <c r="E1388" s="182"/>
      <c r="F1388" s="172"/>
      <c r="G1388" s="173"/>
      <c r="H1388" s="172"/>
      <c r="I1388" s="173"/>
      <c r="J1388" s="209"/>
      <c r="K1388" s="182"/>
      <c r="L1388" s="169"/>
      <c r="M1388" s="71" t="s">
        <v>1479</v>
      </c>
      <c r="N1388" s="47">
        <v>250</v>
      </c>
      <c r="O1388" s="91">
        <v>31.4</v>
      </c>
      <c r="P1388" s="122"/>
      <c r="Q1388" s="122">
        <f>150</f>
        <v>150</v>
      </c>
      <c r="R1388" s="147">
        <f t="shared" si="157"/>
        <v>181.4</v>
      </c>
      <c r="S1388" s="2">
        <f t="shared" si="156"/>
        <v>0.78869565217391302</v>
      </c>
    </row>
    <row r="1389" spans="1:19" x14ac:dyDescent="0.25">
      <c r="A1389" s="201"/>
      <c r="B1389" s="182"/>
      <c r="C1389" s="182"/>
      <c r="D1389" s="182"/>
      <c r="E1389" s="182"/>
      <c r="F1389" s="172"/>
      <c r="G1389" s="173"/>
      <c r="H1389" s="172"/>
      <c r="I1389" s="173"/>
      <c r="J1389" s="209"/>
      <c r="K1389" s="182"/>
      <c r="L1389" s="169"/>
      <c r="M1389" s="71" t="s">
        <v>1480</v>
      </c>
      <c r="N1389" s="47">
        <v>250</v>
      </c>
      <c r="O1389" s="91">
        <v>7.2</v>
      </c>
      <c r="P1389" s="122"/>
      <c r="Q1389" s="122"/>
      <c r="R1389" s="147">
        <f t="shared" si="157"/>
        <v>7.2</v>
      </c>
      <c r="S1389" s="2">
        <f t="shared" si="156"/>
        <v>3.1304347826086959E-2</v>
      </c>
    </row>
    <row r="1390" spans="1:19" hidden="1" x14ac:dyDescent="0.25">
      <c r="A1390" s="201"/>
      <c r="B1390" s="182"/>
      <c r="C1390" s="182"/>
      <c r="D1390" s="182"/>
      <c r="E1390" s="182"/>
      <c r="F1390" s="174"/>
      <c r="G1390" s="175"/>
      <c r="H1390" s="172"/>
      <c r="I1390" s="173"/>
      <c r="J1390" s="209"/>
      <c r="K1390" s="183"/>
      <c r="L1390" s="169"/>
      <c r="M1390" s="71" t="s">
        <v>1346</v>
      </c>
      <c r="N1390" s="47" t="s">
        <v>1372</v>
      </c>
      <c r="O1390" s="58" t="s">
        <v>1348</v>
      </c>
      <c r="P1390" s="126"/>
      <c r="Q1390" s="126"/>
      <c r="R1390" s="147">
        <f t="shared" si="157"/>
        <v>0</v>
      </c>
      <c r="S1390" s="68"/>
    </row>
    <row r="1391" spans="1:19" x14ac:dyDescent="0.25">
      <c r="A1391" s="201"/>
      <c r="B1391" s="182"/>
      <c r="C1391" s="182"/>
      <c r="D1391" s="182"/>
      <c r="E1391" s="182"/>
      <c r="F1391" s="176" t="s">
        <v>1481</v>
      </c>
      <c r="G1391" s="177"/>
      <c r="H1391" s="172"/>
      <c r="I1391" s="173"/>
      <c r="J1391" s="209"/>
      <c r="K1391" s="88"/>
      <c r="L1391" s="71">
        <v>0.72099999999999997</v>
      </c>
      <c r="M1391" s="80" t="s">
        <v>1482</v>
      </c>
      <c r="N1391" s="91">
        <v>100</v>
      </c>
      <c r="O1391" s="91">
        <v>3</v>
      </c>
      <c r="P1391" s="122"/>
      <c r="Q1391" s="122"/>
      <c r="R1391" s="147">
        <f t="shared" si="157"/>
        <v>3</v>
      </c>
      <c r="S1391" s="2">
        <f t="shared" ref="S1391:S1400" si="158">R1391/(N1391*0.92)</f>
        <v>3.2608695652173912E-2</v>
      </c>
    </row>
    <row r="1392" spans="1:19" x14ac:dyDescent="0.25">
      <c r="A1392" s="201"/>
      <c r="B1392" s="182"/>
      <c r="C1392" s="182"/>
      <c r="D1392" s="182"/>
      <c r="E1392" s="182"/>
      <c r="F1392" s="170" t="s">
        <v>1483</v>
      </c>
      <c r="G1392" s="171"/>
      <c r="H1392" s="172"/>
      <c r="I1392" s="173"/>
      <c r="J1392" s="209"/>
      <c r="K1392" s="181"/>
      <c r="L1392" s="169">
        <v>0.39100000000000001</v>
      </c>
      <c r="M1392" s="71" t="s">
        <v>1484</v>
      </c>
      <c r="N1392" s="91">
        <v>400</v>
      </c>
      <c r="O1392" s="91">
        <v>84</v>
      </c>
      <c r="P1392" s="122"/>
      <c r="Q1392" s="122"/>
      <c r="R1392" s="147">
        <f t="shared" si="157"/>
        <v>84</v>
      </c>
      <c r="S1392" s="2">
        <f t="shared" si="158"/>
        <v>0.22826086956521738</v>
      </c>
    </row>
    <row r="1393" spans="1:19" x14ac:dyDescent="0.25">
      <c r="A1393" s="201"/>
      <c r="B1393" s="182"/>
      <c r="C1393" s="182"/>
      <c r="D1393" s="182"/>
      <c r="E1393" s="182"/>
      <c r="F1393" s="172"/>
      <c r="G1393" s="173"/>
      <c r="H1393" s="172"/>
      <c r="I1393" s="173"/>
      <c r="J1393" s="209"/>
      <c r="K1393" s="182"/>
      <c r="L1393" s="169"/>
      <c r="M1393" s="71" t="s">
        <v>1485</v>
      </c>
      <c r="N1393" s="91">
        <v>400</v>
      </c>
      <c r="O1393" s="91">
        <v>113.8</v>
      </c>
      <c r="P1393" s="122"/>
      <c r="Q1393" s="122"/>
      <c r="R1393" s="147">
        <f t="shared" si="157"/>
        <v>113.8</v>
      </c>
      <c r="S1393" s="2">
        <f t="shared" si="158"/>
        <v>0.30923913043478263</v>
      </c>
    </row>
    <row r="1394" spans="1:19" x14ac:dyDescent="0.25">
      <c r="A1394" s="201"/>
      <c r="B1394" s="182"/>
      <c r="C1394" s="182"/>
      <c r="D1394" s="182"/>
      <c r="E1394" s="182"/>
      <c r="F1394" s="172"/>
      <c r="G1394" s="173"/>
      <c r="H1394" s="172"/>
      <c r="I1394" s="173"/>
      <c r="J1394" s="209"/>
      <c r="K1394" s="182"/>
      <c r="L1394" s="169"/>
      <c r="M1394" s="71" t="s">
        <v>1486</v>
      </c>
      <c r="N1394" s="91">
        <v>400</v>
      </c>
      <c r="O1394" s="91">
        <v>95.8</v>
      </c>
      <c r="P1394" s="122"/>
      <c r="Q1394" s="122">
        <f>10+10</f>
        <v>20</v>
      </c>
      <c r="R1394" s="147">
        <f t="shared" si="157"/>
        <v>115.8</v>
      </c>
      <c r="S1394" s="2">
        <f t="shared" si="158"/>
        <v>0.31467391304347825</v>
      </c>
    </row>
    <row r="1395" spans="1:19" x14ac:dyDescent="0.25">
      <c r="A1395" s="201"/>
      <c r="B1395" s="182"/>
      <c r="C1395" s="182"/>
      <c r="D1395" s="182"/>
      <c r="E1395" s="182"/>
      <c r="F1395" s="172"/>
      <c r="G1395" s="173"/>
      <c r="H1395" s="172"/>
      <c r="I1395" s="173"/>
      <c r="J1395" s="209"/>
      <c r="K1395" s="182"/>
      <c r="L1395" s="169"/>
      <c r="M1395" s="71" t="s">
        <v>1487</v>
      </c>
      <c r="N1395" s="91">
        <v>400</v>
      </c>
      <c r="O1395" s="91">
        <v>126.2</v>
      </c>
      <c r="P1395" s="122"/>
      <c r="Q1395" s="122">
        <f>10</f>
        <v>10</v>
      </c>
      <c r="R1395" s="147">
        <f t="shared" si="157"/>
        <v>136.19999999999999</v>
      </c>
      <c r="S1395" s="2">
        <f t="shared" si="158"/>
        <v>0.37010869565217386</v>
      </c>
    </row>
    <row r="1396" spans="1:19" x14ac:dyDescent="0.25">
      <c r="A1396" s="201"/>
      <c r="B1396" s="182"/>
      <c r="C1396" s="182"/>
      <c r="D1396" s="182"/>
      <c r="E1396" s="182"/>
      <c r="F1396" s="174"/>
      <c r="G1396" s="175"/>
      <c r="H1396" s="172"/>
      <c r="I1396" s="173"/>
      <c r="J1396" s="209"/>
      <c r="K1396" s="183"/>
      <c r="L1396" s="169"/>
      <c r="M1396" s="71" t="s">
        <v>1488</v>
      </c>
      <c r="N1396" s="91">
        <v>400</v>
      </c>
      <c r="O1396" s="91">
        <v>59.4</v>
      </c>
      <c r="P1396" s="122"/>
      <c r="Q1396" s="122"/>
      <c r="R1396" s="147">
        <f t="shared" si="157"/>
        <v>59.4</v>
      </c>
      <c r="S1396" s="2">
        <f t="shared" si="158"/>
        <v>0.16141304347826085</v>
      </c>
    </row>
    <row r="1397" spans="1:19" x14ac:dyDescent="0.25">
      <c r="A1397" s="201"/>
      <c r="B1397" s="182"/>
      <c r="C1397" s="182"/>
      <c r="D1397" s="182"/>
      <c r="E1397" s="182"/>
      <c r="F1397" s="170" t="s">
        <v>1489</v>
      </c>
      <c r="G1397" s="171"/>
      <c r="H1397" s="172"/>
      <c r="I1397" s="173"/>
      <c r="J1397" s="209"/>
      <c r="K1397" s="181"/>
      <c r="L1397" s="169">
        <v>0.376</v>
      </c>
      <c r="M1397" s="65" t="s">
        <v>1490</v>
      </c>
      <c r="N1397" s="91">
        <v>400</v>
      </c>
      <c r="O1397" s="91">
        <v>169.4</v>
      </c>
      <c r="P1397" s="122"/>
      <c r="Q1397" s="122"/>
      <c r="R1397" s="147">
        <f t="shared" si="157"/>
        <v>169.4</v>
      </c>
      <c r="S1397" s="2">
        <f t="shared" si="158"/>
        <v>0.46032608695652177</v>
      </c>
    </row>
    <row r="1398" spans="1:19" x14ac:dyDescent="0.25">
      <c r="A1398" s="201"/>
      <c r="B1398" s="182"/>
      <c r="C1398" s="182"/>
      <c r="D1398" s="182"/>
      <c r="E1398" s="182"/>
      <c r="F1398" s="172"/>
      <c r="G1398" s="173"/>
      <c r="H1398" s="172"/>
      <c r="I1398" s="173"/>
      <c r="J1398" s="209"/>
      <c r="K1398" s="182"/>
      <c r="L1398" s="169"/>
      <c r="M1398" s="71" t="s">
        <v>1491</v>
      </c>
      <c r="N1398" s="91">
        <v>400</v>
      </c>
      <c r="O1398" s="91">
        <v>89.6</v>
      </c>
      <c r="P1398" s="122"/>
      <c r="Q1398" s="122"/>
      <c r="R1398" s="147">
        <f t="shared" si="157"/>
        <v>89.6</v>
      </c>
      <c r="S1398" s="2">
        <f t="shared" si="158"/>
        <v>0.2434782608695652</v>
      </c>
    </row>
    <row r="1399" spans="1:19" x14ac:dyDescent="0.25">
      <c r="A1399" s="201"/>
      <c r="B1399" s="182"/>
      <c r="C1399" s="182"/>
      <c r="D1399" s="182"/>
      <c r="E1399" s="182"/>
      <c r="F1399" s="172"/>
      <c r="G1399" s="173"/>
      <c r="H1399" s="172"/>
      <c r="I1399" s="173"/>
      <c r="J1399" s="209"/>
      <c r="K1399" s="182"/>
      <c r="L1399" s="169"/>
      <c r="M1399" s="71" t="s">
        <v>1492</v>
      </c>
      <c r="N1399" s="91">
        <v>400</v>
      </c>
      <c r="O1399" s="91">
        <v>130.80000000000001</v>
      </c>
      <c r="P1399" s="122"/>
      <c r="Q1399" s="122"/>
      <c r="R1399" s="147">
        <f t="shared" si="157"/>
        <v>130.80000000000001</v>
      </c>
      <c r="S1399" s="2">
        <f t="shared" si="158"/>
        <v>0.35543478260869571</v>
      </c>
    </row>
    <row r="1400" spans="1:19" ht="14.25" customHeight="1" x14ac:dyDescent="0.25">
      <c r="A1400" s="201"/>
      <c r="B1400" s="182"/>
      <c r="C1400" s="182"/>
      <c r="D1400" s="182"/>
      <c r="E1400" s="182"/>
      <c r="F1400" s="172"/>
      <c r="G1400" s="173"/>
      <c r="H1400" s="172"/>
      <c r="I1400" s="173"/>
      <c r="J1400" s="209"/>
      <c r="K1400" s="182"/>
      <c r="L1400" s="169"/>
      <c r="M1400" s="79" t="s">
        <v>1493</v>
      </c>
      <c r="N1400" s="91">
        <v>400</v>
      </c>
      <c r="O1400" s="91">
        <v>48.8</v>
      </c>
      <c r="P1400" s="122"/>
      <c r="Q1400" s="122">
        <f>2</f>
        <v>2</v>
      </c>
      <c r="R1400" s="147">
        <f t="shared" si="157"/>
        <v>50.8</v>
      </c>
      <c r="S1400" s="2">
        <f t="shared" si="158"/>
        <v>0.13804347826086955</v>
      </c>
    </row>
    <row r="1401" spans="1:19" hidden="1" x14ac:dyDescent="0.25">
      <c r="A1401" s="201"/>
      <c r="B1401" s="182"/>
      <c r="C1401" s="182"/>
      <c r="D1401" s="182"/>
      <c r="E1401" s="182"/>
      <c r="F1401" s="174"/>
      <c r="G1401" s="175"/>
      <c r="H1401" s="172"/>
      <c r="I1401" s="173"/>
      <c r="J1401" s="209"/>
      <c r="K1401" s="183"/>
      <c r="L1401" s="169"/>
      <c r="M1401" s="71" t="s">
        <v>1494</v>
      </c>
      <c r="N1401" s="91">
        <v>160</v>
      </c>
      <c r="O1401" s="64" t="s">
        <v>1348</v>
      </c>
      <c r="P1401" s="130"/>
      <c r="Q1401" s="130"/>
      <c r="R1401" s="147">
        <f t="shared" si="157"/>
        <v>0</v>
      </c>
      <c r="S1401" s="59"/>
    </row>
    <row r="1402" spans="1:19" hidden="1" x14ac:dyDescent="0.25">
      <c r="A1402" s="201"/>
      <c r="B1402" s="182"/>
      <c r="C1402" s="182"/>
      <c r="D1402" s="182"/>
      <c r="E1402" s="182"/>
      <c r="F1402" s="197" t="s">
        <v>1495</v>
      </c>
      <c r="G1402" s="198"/>
      <c r="H1402" s="172"/>
      <c r="I1402" s="173"/>
      <c r="J1402" s="209"/>
      <c r="K1402" s="88"/>
      <c r="L1402" s="169">
        <f>692/1000</f>
        <v>0.69199999999999995</v>
      </c>
      <c r="M1402" s="50" t="s">
        <v>1496</v>
      </c>
      <c r="N1402" s="91" t="s">
        <v>1497</v>
      </c>
      <c r="O1402" s="64" t="s">
        <v>1348</v>
      </c>
      <c r="P1402" s="130"/>
      <c r="Q1402" s="130"/>
      <c r="R1402" s="147">
        <f t="shared" si="157"/>
        <v>0</v>
      </c>
      <c r="S1402" s="59"/>
    </row>
    <row r="1403" spans="1:19" x14ac:dyDescent="0.25">
      <c r="A1403" s="201"/>
      <c r="B1403" s="182"/>
      <c r="C1403" s="182"/>
      <c r="D1403" s="182"/>
      <c r="E1403" s="182"/>
      <c r="F1403" s="193" t="s">
        <v>1498</v>
      </c>
      <c r="G1403" s="194"/>
      <c r="H1403" s="172"/>
      <c r="I1403" s="173"/>
      <c r="J1403" s="209"/>
      <c r="K1403" s="181"/>
      <c r="L1403" s="169"/>
      <c r="M1403" s="71" t="s">
        <v>1499</v>
      </c>
      <c r="N1403" s="91">
        <v>400</v>
      </c>
      <c r="O1403" s="91">
        <v>339.4</v>
      </c>
      <c r="P1403" s="122"/>
      <c r="Q1403" s="122"/>
      <c r="R1403" s="147">
        <f t="shared" si="157"/>
        <v>339.4</v>
      </c>
      <c r="S1403" s="2">
        <f t="shared" ref="S1403:S1407" si="159">R1403/(N1403*0.92)</f>
        <v>0.92228260869565215</v>
      </c>
    </row>
    <row r="1404" spans="1:19" x14ac:dyDescent="0.25">
      <c r="A1404" s="201"/>
      <c r="B1404" s="182"/>
      <c r="C1404" s="182"/>
      <c r="D1404" s="182"/>
      <c r="E1404" s="182"/>
      <c r="F1404" s="197"/>
      <c r="G1404" s="198"/>
      <c r="H1404" s="172"/>
      <c r="I1404" s="173"/>
      <c r="J1404" s="209"/>
      <c r="K1404" s="183"/>
      <c r="L1404" s="169"/>
      <c r="M1404" s="65" t="s">
        <v>1500</v>
      </c>
      <c r="N1404" s="91">
        <v>160</v>
      </c>
      <c r="O1404" s="91">
        <v>208</v>
      </c>
      <c r="P1404" s="122"/>
      <c r="Q1404" s="122"/>
      <c r="R1404" s="147">
        <f t="shared" si="157"/>
        <v>208</v>
      </c>
      <c r="S1404" s="2">
        <f t="shared" si="159"/>
        <v>1.4130434782608694</v>
      </c>
    </row>
    <row r="1405" spans="1:19" x14ac:dyDescent="0.25">
      <c r="A1405" s="201"/>
      <c r="B1405" s="182"/>
      <c r="C1405" s="182"/>
      <c r="D1405" s="182"/>
      <c r="E1405" s="182"/>
      <c r="F1405" s="193" t="s">
        <v>1501</v>
      </c>
      <c r="G1405" s="194"/>
      <c r="H1405" s="172"/>
      <c r="I1405" s="173"/>
      <c r="J1405" s="209"/>
      <c r="K1405" s="182"/>
      <c r="L1405" s="169"/>
      <c r="M1405" s="71" t="s">
        <v>1502</v>
      </c>
      <c r="N1405" s="91">
        <v>400</v>
      </c>
      <c r="O1405" s="47">
        <v>227.6</v>
      </c>
      <c r="P1405" s="125"/>
      <c r="Q1405" s="125"/>
      <c r="R1405" s="147">
        <f t="shared" si="157"/>
        <v>227.6</v>
      </c>
      <c r="S1405" s="2">
        <f t="shared" si="159"/>
        <v>0.61847826086956526</v>
      </c>
    </row>
    <row r="1406" spans="1:19" x14ac:dyDescent="0.25">
      <c r="A1406" s="201"/>
      <c r="B1406" s="182"/>
      <c r="C1406" s="182"/>
      <c r="D1406" s="182"/>
      <c r="E1406" s="182"/>
      <c r="F1406" s="195"/>
      <c r="G1406" s="196"/>
      <c r="H1406" s="172"/>
      <c r="I1406" s="173"/>
      <c r="J1406" s="209"/>
      <c r="K1406" s="182"/>
      <c r="L1406" s="169"/>
      <c r="M1406" s="71" t="s">
        <v>1503</v>
      </c>
      <c r="N1406" s="91">
        <v>160</v>
      </c>
      <c r="O1406" s="47">
        <v>152.6</v>
      </c>
      <c r="P1406" s="125"/>
      <c r="Q1406" s="125">
        <f>5</f>
        <v>5</v>
      </c>
      <c r="R1406" s="147">
        <f t="shared" si="157"/>
        <v>157.6</v>
      </c>
      <c r="S1406" s="2">
        <f t="shared" si="159"/>
        <v>1.0706521739130432</v>
      </c>
    </row>
    <row r="1407" spans="1:19" x14ac:dyDescent="0.25">
      <c r="A1407" s="201"/>
      <c r="B1407" s="182"/>
      <c r="C1407" s="182"/>
      <c r="D1407" s="182"/>
      <c r="E1407" s="182"/>
      <c r="F1407" s="195"/>
      <c r="G1407" s="196"/>
      <c r="H1407" s="172"/>
      <c r="I1407" s="173"/>
      <c r="J1407" s="209"/>
      <c r="K1407" s="182"/>
      <c r="L1407" s="169"/>
      <c r="M1407" s="71" t="s">
        <v>1504</v>
      </c>
      <c r="N1407" s="91">
        <v>160</v>
      </c>
      <c r="O1407" s="47">
        <v>125.8</v>
      </c>
      <c r="P1407" s="125"/>
      <c r="Q1407" s="125"/>
      <c r="R1407" s="147">
        <f t="shared" si="157"/>
        <v>125.8</v>
      </c>
      <c r="S1407" s="2">
        <f t="shared" si="159"/>
        <v>0.85461956521739113</v>
      </c>
    </row>
    <row r="1408" spans="1:19" hidden="1" x14ac:dyDescent="0.25">
      <c r="A1408" s="201"/>
      <c r="B1408" s="182"/>
      <c r="C1408" s="182"/>
      <c r="D1408" s="182"/>
      <c r="E1408" s="182"/>
      <c r="F1408" s="197"/>
      <c r="G1408" s="198"/>
      <c r="H1408" s="172"/>
      <c r="I1408" s="173"/>
      <c r="J1408" s="209"/>
      <c r="K1408" s="183"/>
      <c r="L1408" s="169"/>
      <c r="M1408" s="71" t="s">
        <v>1505</v>
      </c>
      <c r="N1408" s="47" t="s">
        <v>1372</v>
      </c>
      <c r="O1408" s="64" t="s">
        <v>1348</v>
      </c>
      <c r="P1408" s="131"/>
      <c r="Q1408" s="131"/>
      <c r="R1408" s="147">
        <f t="shared" si="157"/>
        <v>0</v>
      </c>
      <c r="S1408" s="68"/>
    </row>
    <row r="1409" spans="1:19" x14ac:dyDescent="0.25">
      <c r="A1409" s="201"/>
      <c r="B1409" s="182"/>
      <c r="C1409" s="182"/>
      <c r="D1409" s="182"/>
      <c r="E1409" s="182"/>
      <c r="F1409" s="170" t="s">
        <v>1506</v>
      </c>
      <c r="G1409" s="171"/>
      <c r="H1409" s="172"/>
      <c r="I1409" s="173"/>
      <c r="J1409" s="209"/>
      <c r="K1409" s="208">
        <f>SUM(K1252:K1390)</f>
        <v>0</v>
      </c>
      <c r="L1409" s="169">
        <f>556/1000</f>
        <v>0.55600000000000005</v>
      </c>
      <c r="M1409" s="81" t="s">
        <v>1507</v>
      </c>
      <c r="N1409" s="91">
        <v>400</v>
      </c>
      <c r="O1409" s="57">
        <v>251</v>
      </c>
      <c r="P1409" s="124"/>
      <c r="Q1409" s="124" t="s">
        <v>2132</v>
      </c>
      <c r="R1409" s="147">
        <f t="shared" si="157"/>
        <v>296</v>
      </c>
      <c r="S1409" s="2">
        <f>R1409/(N1409*0.92)</f>
        <v>0.80434782608695654</v>
      </c>
    </row>
    <row r="1410" spans="1:19" hidden="1" x14ac:dyDescent="0.25">
      <c r="A1410" s="201"/>
      <c r="B1410" s="182"/>
      <c r="C1410" s="182"/>
      <c r="D1410" s="182"/>
      <c r="E1410" s="182"/>
      <c r="F1410" s="172"/>
      <c r="G1410" s="173"/>
      <c r="H1410" s="172"/>
      <c r="I1410" s="173"/>
      <c r="J1410" s="209"/>
      <c r="K1410" s="209"/>
      <c r="L1410" s="169"/>
      <c r="M1410" s="71" t="s">
        <v>1508</v>
      </c>
      <c r="N1410" s="91">
        <v>100</v>
      </c>
      <c r="O1410" s="57" t="s">
        <v>1348</v>
      </c>
      <c r="P1410" s="124"/>
      <c r="Q1410" s="124"/>
      <c r="R1410" s="147">
        <f t="shared" si="157"/>
        <v>0</v>
      </c>
      <c r="S1410" s="69"/>
    </row>
    <row r="1411" spans="1:19" x14ac:dyDescent="0.25">
      <c r="A1411" s="201"/>
      <c r="B1411" s="182"/>
      <c r="C1411" s="182"/>
      <c r="D1411" s="182"/>
      <c r="E1411" s="182"/>
      <c r="F1411" s="172"/>
      <c r="G1411" s="173"/>
      <c r="H1411" s="172"/>
      <c r="I1411" s="173"/>
      <c r="J1411" s="209"/>
      <c r="K1411" s="209"/>
      <c r="L1411" s="169"/>
      <c r="M1411" s="71" t="s">
        <v>1509</v>
      </c>
      <c r="N1411" s="91">
        <v>400</v>
      </c>
      <c r="O1411" s="47">
        <v>279.8</v>
      </c>
      <c r="P1411" s="125"/>
      <c r="Q1411" s="125"/>
      <c r="R1411" s="147">
        <f t="shared" si="157"/>
        <v>279.8</v>
      </c>
      <c r="S1411" s="2">
        <f t="shared" ref="S1411:S1443" si="160">R1411/(N1411*0.92)</f>
        <v>0.76032608695652182</v>
      </c>
    </row>
    <row r="1412" spans="1:19" x14ac:dyDescent="0.25">
      <c r="A1412" s="201"/>
      <c r="B1412" s="182"/>
      <c r="C1412" s="182"/>
      <c r="D1412" s="182"/>
      <c r="E1412" s="182"/>
      <c r="F1412" s="172"/>
      <c r="G1412" s="173"/>
      <c r="H1412" s="172"/>
      <c r="I1412" s="173"/>
      <c r="J1412" s="209"/>
      <c r="K1412" s="209"/>
      <c r="L1412" s="169"/>
      <c r="M1412" s="71" t="s">
        <v>1510</v>
      </c>
      <c r="N1412" s="91">
        <v>25</v>
      </c>
      <c r="O1412" s="47">
        <v>4.2</v>
      </c>
      <c r="P1412" s="125"/>
      <c r="Q1412" s="125"/>
      <c r="R1412" s="147">
        <f t="shared" si="157"/>
        <v>4.2</v>
      </c>
      <c r="S1412" s="2">
        <f t="shared" si="160"/>
        <v>0.18260869565217391</v>
      </c>
    </row>
    <row r="1413" spans="1:19" x14ac:dyDescent="0.25">
      <c r="A1413" s="201"/>
      <c r="B1413" s="182"/>
      <c r="C1413" s="182"/>
      <c r="D1413" s="182"/>
      <c r="E1413" s="182"/>
      <c r="F1413" s="172"/>
      <c r="G1413" s="173"/>
      <c r="H1413" s="172"/>
      <c r="I1413" s="173"/>
      <c r="J1413" s="209"/>
      <c r="K1413" s="209"/>
      <c r="L1413" s="169"/>
      <c r="M1413" s="71" t="s">
        <v>1511</v>
      </c>
      <c r="N1413" s="91">
        <v>250</v>
      </c>
      <c r="O1413" s="47">
        <v>107.4</v>
      </c>
      <c r="P1413" s="125"/>
      <c r="Q1413" s="125"/>
      <c r="R1413" s="147">
        <f t="shared" si="157"/>
        <v>107.4</v>
      </c>
      <c r="S1413" s="2">
        <f t="shared" si="160"/>
        <v>0.46695652173913044</v>
      </c>
    </row>
    <row r="1414" spans="1:19" x14ac:dyDescent="0.25">
      <c r="A1414" s="201"/>
      <c r="B1414" s="182"/>
      <c r="C1414" s="182"/>
      <c r="D1414" s="182"/>
      <c r="E1414" s="182"/>
      <c r="F1414" s="172"/>
      <c r="G1414" s="173"/>
      <c r="H1414" s="172"/>
      <c r="I1414" s="173"/>
      <c r="J1414" s="209"/>
      <c r="K1414" s="209"/>
      <c r="L1414" s="169"/>
      <c r="M1414" s="71" t="s">
        <v>1512</v>
      </c>
      <c r="N1414" s="160">
        <v>250</v>
      </c>
      <c r="O1414" s="47">
        <v>68.599999999999994</v>
      </c>
      <c r="P1414" s="125"/>
      <c r="Q1414" s="125"/>
      <c r="R1414" s="147">
        <f t="shared" si="157"/>
        <v>68.599999999999994</v>
      </c>
      <c r="S1414" s="2">
        <f t="shared" si="160"/>
        <v>0.29826086956521736</v>
      </c>
    </row>
    <row r="1415" spans="1:19" x14ac:dyDescent="0.25">
      <c r="A1415" s="201"/>
      <c r="B1415" s="182"/>
      <c r="C1415" s="182"/>
      <c r="D1415" s="182"/>
      <c r="E1415" s="182"/>
      <c r="F1415" s="174"/>
      <c r="G1415" s="175"/>
      <c r="H1415" s="172"/>
      <c r="I1415" s="173"/>
      <c r="J1415" s="209"/>
      <c r="K1415" s="210"/>
      <c r="L1415" s="169"/>
      <c r="M1415" s="51" t="s">
        <v>1513</v>
      </c>
      <c r="N1415" s="91">
        <v>160</v>
      </c>
      <c r="O1415" s="47">
        <v>65.8</v>
      </c>
      <c r="P1415" s="125"/>
      <c r="Q1415" s="125"/>
      <c r="R1415" s="147">
        <f t="shared" si="157"/>
        <v>65.8</v>
      </c>
      <c r="S1415" s="2">
        <f t="shared" si="160"/>
        <v>0.44701086956521729</v>
      </c>
    </row>
    <row r="1416" spans="1:19" x14ac:dyDescent="0.25">
      <c r="A1416" s="201"/>
      <c r="B1416" s="182"/>
      <c r="C1416" s="182"/>
      <c r="D1416" s="182"/>
      <c r="E1416" s="182"/>
      <c r="F1416" s="174" t="s">
        <v>1514</v>
      </c>
      <c r="G1416" s="175"/>
      <c r="H1416" s="172"/>
      <c r="I1416" s="173"/>
      <c r="J1416" s="209"/>
      <c r="K1416" s="45"/>
      <c r="L1416" s="169"/>
      <c r="M1416" s="81" t="s">
        <v>1515</v>
      </c>
      <c r="N1416" s="91">
        <v>1250</v>
      </c>
      <c r="O1416" s="91">
        <v>30.6</v>
      </c>
      <c r="P1416" s="122"/>
      <c r="Q1416" s="122"/>
      <c r="R1416" s="147">
        <f t="shared" si="157"/>
        <v>30.6</v>
      </c>
      <c r="S1416" s="2">
        <f t="shared" si="160"/>
        <v>2.6608695652173914E-2</v>
      </c>
    </row>
    <row r="1417" spans="1:19" x14ac:dyDescent="0.25">
      <c r="A1417" s="202"/>
      <c r="B1417" s="183"/>
      <c r="C1417" s="183"/>
      <c r="D1417" s="183"/>
      <c r="E1417" s="183"/>
      <c r="F1417" s="176" t="s">
        <v>1516</v>
      </c>
      <c r="G1417" s="177"/>
      <c r="H1417" s="172"/>
      <c r="I1417" s="173"/>
      <c r="J1417" s="209"/>
      <c r="K1417" s="45"/>
      <c r="L1417" s="169"/>
      <c r="M1417" s="71" t="s">
        <v>1517</v>
      </c>
      <c r="N1417" s="91">
        <v>63</v>
      </c>
      <c r="O1417" s="47">
        <v>7.6</v>
      </c>
      <c r="P1417" s="125"/>
      <c r="Q1417" s="125"/>
      <c r="R1417" s="147">
        <f t="shared" si="157"/>
        <v>7.6</v>
      </c>
      <c r="S1417" s="2">
        <f t="shared" si="160"/>
        <v>0.13112491373360938</v>
      </c>
    </row>
    <row r="1418" spans="1:19" x14ac:dyDescent="0.25">
      <c r="A1418" s="203">
        <f>A1252+1</f>
        <v>2</v>
      </c>
      <c r="B1418" s="181" t="s">
        <v>60</v>
      </c>
      <c r="C1418" s="181" t="s">
        <v>1518</v>
      </c>
      <c r="D1418" s="181" t="s">
        <v>555</v>
      </c>
      <c r="E1418" s="181" t="s">
        <v>61</v>
      </c>
      <c r="F1418" s="170" t="s">
        <v>1519</v>
      </c>
      <c r="G1418" s="171"/>
      <c r="H1418" s="172"/>
      <c r="I1418" s="173"/>
      <c r="J1418" s="209"/>
      <c r="K1418" s="45"/>
      <c r="L1418" s="169">
        <f>885/1000</f>
        <v>0.88500000000000001</v>
      </c>
      <c r="M1418" s="65" t="s">
        <v>1520</v>
      </c>
      <c r="N1418" s="47">
        <v>1000</v>
      </c>
      <c r="O1418" s="47">
        <v>167.4</v>
      </c>
      <c r="P1418" s="125"/>
      <c r="Q1418" s="125"/>
      <c r="R1418" s="147">
        <f t="shared" si="157"/>
        <v>167.4</v>
      </c>
      <c r="S1418" s="2">
        <f t="shared" si="160"/>
        <v>0.18195652173913043</v>
      </c>
    </row>
    <row r="1419" spans="1:19" x14ac:dyDescent="0.25">
      <c r="A1419" s="201"/>
      <c r="B1419" s="182"/>
      <c r="C1419" s="182"/>
      <c r="D1419" s="182"/>
      <c r="E1419" s="182"/>
      <c r="F1419" s="172"/>
      <c r="G1419" s="173"/>
      <c r="H1419" s="172"/>
      <c r="I1419" s="173"/>
      <c r="J1419" s="209"/>
      <c r="K1419" s="88">
        <v>0</v>
      </c>
      <c r="L1419" s="169"/>
      <c r="M1419" s="65" t="s">
        <v>1521</v>
      </c>
      <c r="N1419" s="47">
        <v>400</v>
      </c>
      <c r="O1419" s="91">
        <v>301</v>
      </c>
      <c r="P1419" s="122"/>
      <c r="Q1419" s="122"/>
      <c r="R1419" s="147">
        <f t="shared" si="157"/>
        <v>301</v>
      </c>
      <c r="S1419" s="2">
        <f t="shared" si="160"/>
        <v>0.81793478260869568</v>
      </c>
    </row>
    <row r="1420" spans="1:19" x14ac:dyDescent="0.25">
      <c r="A1420" s="201"/>
      <c r="B1420" s="182"/>
      <c r="C1420" s="182"/>
      <c r="D1420" s="182"/>
      <c r="E1420" s="182"/>
      <c r="F1420" s="172"/>
      <c r="G1420" s="173"/>
      <c r="H1420" s="172"/>
      <c r="I1420" s="173"/>
      <c r="J1420" s="209"/>
      <c r="K1420" s="88">
        <v>4.625</v>
      </c>
      <c r="L1420" s="169"/>
      <c r="M1420" s="65" t="s">
        <v>1522</v>
      </c>
      <c r="N1420" s="47">
        <v>400</v>
      </c>
      <c r="O1420" s="91">
        <v>413.8</v>
      </c>
      <c r="P1420" s="122"/>
      <c r="Q1420" s="122">
        <f>10+10+20</f>
        <v>40</v>
      </c>
      <c r="R1420" s="147">
        <f t="shared" si="157"/>
        <v>453.8</v>
      </c>
      <c r="S1420" s="2">
        <f t="shared" si="160"/>
        <v>1.2331521739130435</v>
      </c>
    </row>
    <row r="1421" spans="1:19" x14ac:dyDescent="0.25">
      <c r="A1421" s="201"/>
      <c r="B1421" s="182"/>
      <c r="C1421" s="182"/>
      <c r="D1421" s="182"/>
      <c r="E1421" s="182"/>
      <c r="F1421" s="172"/>
      <c r="G1421" s="173"/>
      <c r="H1421" s="172"/>
      <c r="I1421" s="173"/>
      <c r="J1421" s="209"/>
      <c r="K1421" s="88">
        <v>5.7249999999999996</v>
      </c>
      <c r="L1421" s="169"/>
      <c r="M1421" s="65" t="s">
        <v>1523</v>
      </c>
      <c r="N1421" s="47">
        <v>400</v>
      </c>
      <c r="O1421" s="91">
        <v>127.4</v>
      </c>
      <c r="P1421" s="122"/>
      <c r="Q1421" s="122"/>
      <c r="R1421" s="147">
        <f t="shared" si="157"/>
        <v>127.4</v>
      </c>
      <c r="S1421" s="2">
        <f t="shared" si="160"/>
        <v>0.34619565217391307</v>
      </c>
    </row>
    <row r="1422" spans="1:19" x14ac:dyDescent="0.25">
      <c r="A1422" s="201"/>
      <c r="B1422" s="182"/>
      <c r="C1422" s="182"/>
      <c r="D1422" s="182"/>
      <c r="E1422" s="182"/>
      <c r="F1422" s="172"/>
      <c r="G1422" s="173"/>
      <c r="H1422" s="172"/>
      <c r="I1422" s="173"/>
      <c r="J1422" s="209"/>
      <c r="K1422" s="88"/>
      <c r="L1422" s="169"/>
      <c r="M1422" s="65" t="s">
        <v>1524</v>
      </c>
      <c r="N1422" s="61">
        <v>400</v>
      </c>
      <c r="O1422" s="91">
        <v>57.8</v>
      </c>
      <c r="P1422" s="122"/>
      <c r="Q1422" s="122"/>
      <c r="R1422" s="147">
        <f t="shared" si="157"/>
        <v>57.8</v>
      </c>
      <c r="S1422" s="2">
        <f t="shared" si="160"/>
        <v>0.15706521739130433</v>
      </c>
    </row>
    <row r="1423" spans="1:19" x14ac:dyDescent="0.25">
      <c r="A1423" s="201"/>
      <c r="B1423" s="182"/>
      <c r="C1423" s="182"/>
      <c r="D1423" s="182"/>
      <c r="E1423" s="182"/>
      <c r="F1423" s="172"/>
      <c r="G1423" s="173"/>
      <c r="H1423" s="172"/>
      <c r="I1423" s="173"/>
      <c r="J1423" s="209"/>
      <c r="K1423" s="88"/>
      <c r="L1423" s="169"/>
      <c r="M1423" s="65" t="s">
        <v>1525</v>
      </c>
      <c r="N1423" s="160">
        <v>250</v>
      </c>
      <c r="O1423" s="57">
        <v>49</v>
      </c>
      <c r="P1423" s="124"/>
      <c r="Q1423" s="124"/>
      <c r="R1423" s="147">
        <f t="shared" si="157"/>
        <v>49</v>
      </c>
      <c r="S1423" s="2">
        <f t="shared" si="160"/>
        <v>0.21304347826086956</v>
      </c>
    </row>
    <row r="1424" spans="1:19" x14ac:dyDescent="0.25">
      <c r="A1424" s="201"/>
      <c r="B1424" s="182"/>
      <c r="C1424" s="182"/>
      <c r="D1424" s="182"/>
      <c r="E1424" s="182"/>
      <c r="F1424" s="172"/>
      <c r="G1424" s="173"/>
      <c r="H1424" s="172"/>
      <c r="I1424" s="173"/>
      <c r="J1424" s="209"/>
      <c r="K1424" s="88"/>
      <c r="L1424" s="169"/>
      <c r="M1424" s="65" t="s">
        <v>1526</v>
      </c>
      <c r="N1424" s="47">
        <v>400</v>
      </c>
      <c r="O1424" s="91">
        <v>123</v>
      </c>
      <c r="P1424" s="122"/>
      <c r="Q1424" s="122"/>
      <c r="R1424" s="147">
        <f t="shared" si="157"/>
        <v>123</v>
      </c>
      <c r="S1424" s="2">
        <f t="shared" si="160"/>
        <v>0.33423913043478259</v>
      </c>
    </row>
    <row r="1425" spans="1:19" x14ac:dyDescent="0.25">
      <c r="A1425" s="201"/>
      <c r="B1425" s="182"/>
      <c r="C1425" s="182"/>
      <c r="D1425" s="182"/>
      <c r="E1425" s="182"/>
      <c r="F1425" s="172"/>
      <c r="G1425" s="173"/>
      <c r="H1425" s="172"/>
      <c r="I1425" s="173"/>
      <c r="J1425" s="209"/>
      <c r="K1425" s="88"/>
      <c r="L1425" s="169"/>
      <c r="M1425" s="65" t="s">
        <v>1527</v>
      </c>
      <c r="N1425" s="47">
        <v>400</v>
      </c>
      <c r="O1425" s="91">
        <v>112</v>
      </c>
      <c r="P1425" s="122"/>
      <c r="Q1425" s="122">
        <f>15</f>
        <v>15</v>
      </c>
      <c r="R1425" s="147">
        <f t="shared" si="157"/>
        <v>127</v>
      </c>
      <c r="S1425" s="2">
        <f t="shared" si="160"/>
        <v>0.34510869565217389</v>
      </c>
    </row>
    <row r="1426" spans="1:19" x14ac:dyDescent="0.25">
      <c r="A1426" s="201"/>
      <c r="B1426" s="182"/>
      <c r="C1426" s="182"/>
      <c r="D1426" s="182"/>
      <c r="E1426" s="182"/>
      <c r="F1426" s="172"/>
      <c r="G1426" s="173"/>
      <c r="H1426" s="172"/>
      <c r="I1426" s="173"/>
      <c r="J1426" s="209"/>
      <c r="K1426" s="88"/>
      <c r="L1426" s="169"/>
      <c r="M1426" s="65" t="s">
        <v>1528</v>
      </c>
      <c r="N1426" s="47">
        <v>160</v>
      </c>
      <c r="O1426" s="91">
        <v>89.8</v>
      </c>
      <c r="P1426" s="122"/>
      <c r="Q1426" s="122"/>
      <c r="R1426" s="147">
        <f t="shared" si="157"/>
        <v>89.8</v>
      </c>
      <c r="S1426" s="2">
        <f t="shared" si="160"/>
        <v>0.61005434782608692</v>
      </c>
    </row>
    <row r="1427" spans="1:19" x14ac:dyDescent="0.25">
      <c r="A1427" s="201"/>
      <c r="B1427" s="182"/>
      <c r="C1427" s="182"/>
      <c r="D1427" s="182"/>
      <c r="E1427" s="182"/>
      <c r="F1427" s="172"/>
      <c r="G1427" s="173"/>
      <c r="H1427" s="172"/>
      <c r="I1427" s="173"/>
      <c r="J1427" s="209"/>
      <c r="K1427" s="88"/>
      <c r="L1427" s="169"/>
      <c r="M1427" s="65" t="s">
        <v>1529</v>
      </c>
      <c r="N1427" s="47">
        <v>250</v>
      </c>
      <c r="O1427" s="91">
        <v>174.4</v>
      </c>
      <c r="P1427" s="122"/>
      <c r="Q1427" s="122"/>
      <c r="R1427" s="147">
        <f t="shared" si="157"/>
        <v>174.4</v>
      </c>
      <c r="S1427" s="2">
        <f t="shared" si="160"/>
        <v>0.75826086956521743</v>
      </c>
    </row>
    <row r="1428" spans="1:19" x14ac:dyDescent="0.25">
      <c r="A1428" s="201"/>
      <c r="B1428" s="182"/>
      <c r="C1428" s="182"/>
      <c r="D1428" s="182"/>
      <c r="E1428" s="182"/>
      <c r="F1428" s="174"/>
      <c r="G1428" s="175"/>
      <c r="H1428" s="172"/>
      <c r="I1428" s="173"/>
      <c r="J1428" s="209"/>
      <c r="K1428" s="88"/>
      <c r="L1428" s="169"/>
      <c r="M1428" s="65" t="s">
        <v>1530</v>
      </c>
      <c r="N1428" s="47">
        <v>100</v>
      </c>
      <c r="O1428" s="91">
        <v>23.6</v>
      </c>
      <c r="P1428" s="122"/>
      <c r="Q1428" s="122"/>
      <c r="R1428" s="147">
        <f t="shared" si="157"/>
        <v>23.6</v>
      </c>
      <c r="S1428" s="2">
        <f t="shared" si="160"/>
        <v>0.2565217391304348</v>
      </c>
    </row>
    <row r="1429" spans="1:19" x14ac:dyDescent="0.25">
      <c r="A1429" s="201"/>
      <c r="B1429" s="182"/>
      <c r="C1429" s="182"/>
      <c r="D1429" s="182"/>
      <c r="E1429" s="182"/>
      <c r="F1429" s="170" t="s">
        <v>1531</v>
      </c>
      <c r="G1429" s="171"/>
      <c r="H1429" s="172"/>
      <c r="I1429" s="173"/>
      <c r="J1429" s="209"/>
      <c r="K1429" s="208"/>
      <c r="L1429" s="169">
        <f>1770/1000</f>
        <v>1.77</v>
      </c>
      <c r="M1429" s="65" t="s">
        <v>1532</v>
      </c>
      <c r="N1429" s="91">
        <v>250</v>
      </c>
      <c r="O1429" s="91">
        <v>116.4</v>
      </c>
      <c r="P1429" s="122"/>
      <c r="Q1429" s="122">
        <f>15</f>
        <v>15</v>
      </c>
      <c r="R1429" s="147">
        <f t="shared" si="157"/>
        <v>131.4</v>
      </c>
      <c r="S1429" s="2">
        <f t="shared" si="160"/>
        <v>0.57130434782608697</v>
      </c>
    </row>
    <row r="1430" spans="1:19" x14ac:dyDescent="0.25">
      <c r="A1430" s="201"/>
      <c r="B1430" s="182"/>
      <c r="C1430" s="182"/>
      <c r="D1430" s="182"/>
      <c r="E1430" s="182"/>
      <c r="F1430" s="172"/>
      <c r="G1430" s="173"/>
      <c r="H1430" s="172"/>
      <c r="I1430" s="173"/>
      <c r="J1430" s="209"/>
      <c r="K1430" s="209"/>
      <c r="L1430" s="169"/>
      <c r="M1430" s="65" t="s">
        <v>1533</v>
      </c>
      <c r="N1430" s="51">
        <v>400</v>
      </c>
      <c r="O1430" s="91">
        <v>423.4</v>
      </c>
      <c r="P1430" s="122"/>
      <c r="Q1430" s="122"/>
      <c r="R1430" s="147">
        <f t="shared" si="157"/>
        <v>423.4</v>
      </c>
      <c r="S1430" s="2">
        <f t="shared" si="160"/>
        <v>1.1505434782608694</v>
      </c>
    </row>
    <row r="1431" spans="1:19" x14ac:dyDescent="0.25">
      <c r="A1431" s="201"/>
      <c r="B1431" s="182"/>
      <c r="C1431" s="182"/>
      <c r="D1431" s="182"/>
      <c r="E1431" s="182"/>
      <c r="F1431" s="172"/>
      <c r="G1431" s="173"/>
      <c r="H1431" s="172"/>
      <c r="I1431" s="173"/>
      <c r="J1431" s="209"/>
      <c r="K1431" s="209"/>
      <c r="L1431" s="169"/>
      <c r="M1431" s="65" t="s">
        <v>1520</v>
      </c>
      <c r="N1431" s="51">
        <v>1000</v>
      </c>
      <c r="O1431" s="91">
        <v>158</v>
      </c>
      <c r="P1431" s="122"/>
      <c r="Q1431" s="122"/>
      <c r="R1431" s="147">
        <f t="shared" si="157"/>
        <v>158</v>
      </c>
      <c r="S1431" s="2">
        <f t="shared" si="160"/>
        <v>0.17173913043478262</v>
      </c>
    </row>
    <row r="1432" spans="1:19" x14ac:dyDescent="0.25">
      <c r="A1432" s="201"/>
      <c r="B1432" s="182"/>
      <c r="C1432" s="182"/>
      <c r="D1432" s="182"/>
      <c r="E1432" s="182"/>
      <c r="F1432" s="172"/>
      <c r="G1432" s="173"/>
      <c r="H1432" s="172"/>
      <c r="I1432" s="173"/>
      <c r="J1432" s="209"/>
      <c r="K1432" s="209"/>
      <c r="L1432" s="169"/>
      <c r="M1432" s="65" t="s">
        <v>1534</v>
      </c>
      <c r="N1432" s="61">
        <v>250</v>
      </c>
      <c r="O1432" s="91">
        <v>15.4</v>
      </c>
      <c r="P1432" s="122"/>
      <c r="Q1432" s="122"/>
      <c r="R1432" s="147">
        <f t="shared" si="157"/>
        <v>15.4</v>
      </c>
      <c r="S1432" s="2">
        <f t="shared" si="160"/>
        <v>6.6956521739130442E-2</v>
      </c>
    </row>
    <row r="1433" spans="1:19" x14ac:dyDescent="0.25">
      <c r="A1433" s="201"/>
      <c r="B1433" s="182"/>
      <c r="C1433" s="182"/>
      <c r="D1433" s="182"/>
      <c r="E1433" s="182"/>
      <c r="F1433" s="172"/>
      <c r="G1433" s="173"/>
      <c r="H1433" s="172"/>
      <c r="I1433" s="173"/>
      <c r="J1433" s="209"/>
      <c r="K1433" s="209"/>
      <c r="L1433" s="169"/>
      <c r="M1433" s="65" t="s">
        <v>1524</v>
      </c>
      <c r="N1433" s="61">
        <v>400</v>
      </c>
      <c r="O1433" s="91">
        <v>80.599999999999994</v>
      </c>
      <c r="P1433" s="122"/>
      <c r="Q1433" s="122"/>
      <c r="R1433" s="147">
        <f t="shared" si="157"/>
        <v>80.599999999999994</v>
      </c>
      <c r="S1433" s="2">
        <f t="shared" si="160"/>
        <v>0.21902173913043477</v>
      </c>
    </row>
    <row r="1434" spans="1:19" x14ac:dyDescent="0.25">
      <c r="A1434" s="201"/>
      <c r="B1434" s="182"/>
      <c r="C1434" s="182"/>
      <c r="D1434" s="182"/>
      <c r="E1434" s="182"/>
      <c r="F1434" s="172"/>
      <c r="G1434" s="173"/>
      <c r="H1434" s="172"/>
      <c r="I1434" s="173"/>
      <c r="J1434" s="209"/>
      <c r="K1434" s="209"/>
      <c r="L1434" s="169"/>
      <c r="M1434" s="65" t="s">
        <v>1535</v>
      </c>
      <c r="N1434" s="160">
        <v>250</v>
      </c>
      <c r="O1434" s="91">
        <v>28.6</v>
      </c>
      <c r="P1434" s="122"/>
      <c r="Q1434" s="122"/>
      <c r="R1434" s="147">
        <f t="shared" si="157"/>
        <v>28.6</v>
      </c>
      <c r="S1434" s="2">
        <f t="shared" si="160"/>
        <v>0.12434782608695653</v>
      </c>
    </row>
    <row r="1435" spans="1:19" x14ac:dyDescent="0.25">
      <c r="A1435" s="201"/>
      <c r="B1435" s="182"/>
      <c r="C1435" s="182"/>
      <c r="D1435" s="182"/>
      <c r="E1435" s="182"/>
      <c r="F1435" s="172"/>
      <c r="G1435" s="173"/>
      <c r="H1435" s="172"/>
      <c r="I1435" s="173"/>
      <c r="J1435" s="209"/>
      <c r="K1435" s="209"/>
      <c r="L1435" s="169"/>
      <c r="M1435" s="65" t="s">
        <v>1536</v>
      </c>
      <c r="N1435" s="46">
        <v>400</v>
      </c>
      <c r="O1435" s="91">
        <v>356.4</v>
      </c>
      <c r="P1435" s="122"/>
      <c r="Q1435" s="122">
        <f>10+10+15</f>
        <v>35</v>
      </c>
      <c r="R1435" s="147">
        <f t="shared" si="157"/>
        <v>391.4</v>
      </c>
      <c r="S1435" s="2">
        <f t="shared" si="160"/>
        <v>1.0635869565217391</v>
      </c>
    </row>
    <row r="1436" spans="1:19" x14ac:dyDescent="0.25">
      <c r="A1436" s="201"/>
      <c r="B1436" s="182"/>
      <c r="C1436" s="182"/>
      <c r="D1436" s="182"/>
      <c r="E1436" s="182"/>
      <c r="F1436" s="172"/>
      <c r="G1436" s="173"/>
      <c r="H1436" s="172"/>
      <c r="I1436" s="173"/>
      <c r="J1436" s="209"/>
      <c r="K1436" s="209"/>
      <c r="L1436" s="169"/>
      <c r="M1436" s="65" t="s">
        <v>1537</v>
      </c>
      <c r="N1436" s="46">
        <v>160</v>
      </c>
      <c r="O1436" s="91">
        <v>66</v>
      </c>
      <c r="P1436" s="122"/>
      <c r="Q1436" s="122"/>
      <c r="R1436" s="147">
        <f t="shared" si="157"/>
        <v>66</v>
      </c>
      <c r="S1436" s="2">
        <f t="shared" si="160"/>
        <v>0.44836956521739124</v>
      </c>
    </row>
    <row r="1437" spans="1:19" x14ac:dyDescent="0.25">
      <c r="A1437" s="201"/>
      <c r="B1437" s="182"/>
      <c r="C1437" s="182"/>
      <c r="D1437" s="182"/>
      <c r="E1437" s="182"/>
      <c r="F1437" s="172"/>
      <c r="G1437" s="173"/>
      <c r="H1437" s="172"/>
      <c r="I1437" s="173"/>
      <c r="J1437" s="209"/>
      <c r="K1437" s="209"/>
      <c r="L1437" s="169"/>
      <c r="M1437" s="65" t="s">
        <v>1538</v>
      </c>
      <c r="N1437" s="46">
        <v>400</v>
      </c>
      <c r="O1437" s="70">
        <v>34.200000000000003</v>
      </c>
      <c r="P1437" s="132"/>
      <c r="Q1437" s="132"/>
      <c r="R1437" s="147">
        <f t="shared" si="157"/>
        <v>34.200000000000003</v>
      </c>
      <c r="S1437" s="2">
        <f t="shared" si="160"/>
        <v>9.2934782608695657E-2</v>
      </c>
    </row>
    <row r="1438" spans="1:19" x14ac:dyDescent="0.25">
      <c r="A1438" s="201"/>
      <c r="B1438" s="182"/>
      <c r="C1438" s="182"/>
      <c r="D1438" s="182"/>
      <c r="E1438" s="182"/>
      <c r="F1438" s="174"/>
      <c r="G1438" s="175"/>
      <c r="H1438" s="172"/>
      <c r="I1438" s="173"/>
      <c r="J1438" s="209"/>
      <c r="K1438" s="210"/>
      <c r="L1438" s="169"/>
      <c r="M1438" s="65" t="s">
        <v>1539</v>
      </c>
      <c r="N1438" s="71">
        <v>400</v>
      </c>
      <c r="O1438" s="47">
        <v>143.80000000000001</v>
      </c>
      <c r="P1438" s="125"/>
      <c r="Q1438" s="125"/>
      <c r="R1438" s="147">
        <f t="shared" si="157"/>
        <v>143.80000000000001</v>
      </c>
      <c r="S1438" s="2">
        <f t="shared" si="160"/>
        <v>0.39076086956521744</v>
      </c>
    </row>
    <row r="1439" spans="1:19" x14ac:dyDescent="0.25">
      <c r="A1439" s="201"/>
      <c r="B1439" s="182"/>
      <c r="C1439" s="182"/>
      <c r="D1439" s="182"/>
      <c r="E1439" s="182"/>
      <c r="F1439" s="170" t="s">
        <v>1540</v>
      </c>
      <c r="G1439" s="171"/>
      <c r="H1439" s="172"/>
      <c r="I1439" s="173"/>
      <c r="J1439" s="209"/>
      <c r="K1439" s="181"/>
      <c r="L1439" s="169">
        <f>354/1000</f>
        <v>0.35399999999999998</v>
      </c>
      <c r="M1439" s="65" t="s">
        <v>1541</v>
      </c>
      <c r="N1439" s="71">
        <v>100</v>
      </c>
      <c r="O1439" s="91">
        <v>13.4</v>
      </c>
      <c r="P1439" s="122"/>
      <c r="Q1439" s="122"/>
      <c r="R1439" s="147">
        <f t="shared" si="157"/>
        <v>13.4</v>
      </c>
      <c r="S1439" s="2">
        <f t="shared" si="160"/>
        <v>0.14565217391304347</v>
      </c>
    </row>
    <row r="1440" spans="1:19" x14ac:dyDescent="0.25">
      <c r="A1440" s="201"/>
      <c r="B1440" s="182"/>
      <c r="C1440" s="182"/>
      <c r="D1440" s="182"/>
      <c r="E1440" s="182"/>
      <c r="F1440" s="172"/>
      <c r="G1440" s="173"/>
      <c r="H1440" s="172"/>
      <c r="I1440" s="173"/>
      <c r="J1440" s="209"/>
      <c r="K1440" s="182"/>
      <c r="L1440" s="169"/>
      <c r="M1440" s="65" t="s">
        <v>1542</v>
      </c>
      <c r="N1440" s="71">
        <v>400</v>
      </c>
      <c r="O1440" s="91">
        <v>167</v>
      </c>
      <c r="P1440" s="122"/>
      <c r="Q1440" s="122"/>
      <c r="R1440" s="147">
        <f t="shared" si="157"/>
        <v>167</v>
      </c>
      <c r="S1440" s="2">
        <f t="shared" si="160"/>
        <v>0.45380434782608697</v>
      </c>
    </row>
    <row r="1441" spans="1:19" x14ac:dyDescent="0.25">
      <c r="A1441" s="201"/>
      <c r="B1441" s="182"/>
      <c r="C1441" s="182"/>
      <c r="D1441" s="182"/>
      <c r="E1441" s="182"/>
      <c r="F1441" s="172"/>
      <c r="G1441" s="173"/>
      <c r="H1441" s="172"/>
      <c r="I1441" s="173"/>
      <c r="J1441" s="209"/>
      <c r="K1441" s="182"/>
      <c r="L1441" s="169"/>
      <c r="M1441" s="65" t="s">
        <v>1543</v>
      </c>
      <c r="N1441" s="71">
        <v>250</v>
      </c>
      <c r="O1441" s="91">
        <v>15.8</v>
      </c>
      <c r="P1441" s="122"/>
      <c r="Q1441" s="122">
        <f>15</f>
        <v>15</v>
      </c>
      <c r="R1441" s="147">
        <f t="shared" si="157"/>
        <v>30.8</v>
      </c>
      <c r="S1441" s="2">
        <f t="shared" si="160"/>
        <v>0.13391304347826088</v>
      </c>
    </row>
    <row r="1442" spans="1:19" x14ac:dyDescent="0.25">
      <c r="A1442" s="201"/>
      <c r="B1442" s="182"/>
      <c r="C1442" s="182"/>
      <c r="D1442" s="182"/>
      <c r="E1442" s="182"/>
      <c r="F1442" s="174"/>
      <c r="G1442" s="175"/>
      <c r="H1442" s="172"/>
      <c r="I1442" s="173"/>
      <c r="J1442" s="209"/>
      <c r="K1442" s="183"/>
      <c r="L1442" s="169"/>
      <c r="M1442" s="65" t="s">
        <v>1544</v>
      </c>
      <c r="N1442" s="71">
        <v>250</v>
      </c>
      <c r="O1442" s="91">
        <v>45.8</v>
      </c>
      <c r="P1442" s="122"/>
      <c r="Q1442" s="122"/>
      <c r="R1442" s="147">
        <f t="shared" si="157"/>
        <v>45.8</v>
      </c>
      <c r="S1442" s="2">
        <f t="shared" si="160"/>
        <v>0.1991304347826087</v>
      </c>
    </row>
    <row r="1443" spans="1:19" x14ac:dyDescent="0.25">
      <c r="A1443" s="201"/>
      <c r="B1443" s="182"/>
      <c r="C1443" s="182"/>
      <c r="D1443" s="182"/>
      <c r="E1443" s="182"/>
      <c r="F1443" s="172" t="s">
        <v>1545</v>
      </c>
      <c r="G1443" s="173"/>
      <c r="H1443" s="174"/>
      <c r="I1443" s="175"/>
      <c r="J1443" s="210"/>
      <c r="K1443" s="88"/>
      <c r="L1443" s="169"/>
      <c r="M1443" s="65" t="s">
        <v>1546</v>
      </c>
      <c r="N1443" s="71">
        <v>250</v>
      </c>
      <c r="O1443" s="91">
        <v>5.4</v>
      </c>
      <c r="P1443" s="122"/>
      <c r="Q1443" s="122"/>
      <c r="R1443" s="147">
        <f t="shared" si="157"/>
        <v>5.4</v>
      </c>
      <c r="S1443" s="2">
        <f t="shared" si="160"/>
        <v>2.3478260869565219E-2</v>
      </c>
    </row>
    <row r="1444" spans="1:19" ht="31.5" hidden="1" x14ac:dyDescent="0.25">
      <c r="A1444" s="201"/>
      <c r="B1444" s="182"/>
      <c r="C1444" s="182"/>
      <c r="D1444" s="182"/>
      <c r="E1444" s="182"/>
      <c r="F1444" s="169" t="s">
        <v>1547</v>
      </c>
      <c r="G1444" s="169"/>
      <c r="H1444" s="200" t="s">
        <v>1548</v>
      </c>
      <c r="I1444" s="200"/>
      <c r="J1444" s="211">
        <f>J1418</f>
        <v>0</v>
      </c>
      <c r="K1444" s="181"/>
      <c r="L1444" s="200">
        <f>3689/1000</f>
        <v>3.6890000000000001</v>
      </c>
      <c r="M1444" s="65" t="s">
        <v>1549</v>
      </c>
      <c r="N1444" s="91" t="s">
        <v>173</v>
      </c>
      <c r="O1444" s="82" t="s">
        <v>1550</v>
      </c>
      <c r="P1444" s="133"/>
      <c r="Q1444" s="133"/>
      <c r="R1444" s="147" t="e">
        <f t="shared" si="157"/>
        <v>#VALUE!</v>
      </c>
      <c r="S1444" s="59"/>
    </row>
    <row r="1445" spans="1:19" ht="31.5" hidden="1" x14ac:dyDescent="0.25">
      <c r="A1445" s="201"/>
      <c r="B1445" s="182"/>
      <c r="C1445" s="182"/>
      <c r="D1445" s="182"/>
      <c r="E1445" s="182"/>
      <c r="F1445" s="169"/>
      <c r="G1445" s="169"/>
      <c r="H1445" s="200"/>
      <c r="I1445" s="200"/>
      <c r="J1445" s="211"/>
      <c r="K1445" s="182"/>
      <c r="L1445" s="200"/>
      <c r="M1445" s="65" t="s">
        <v>1551</v>
      </c>
      <c r="N1445" s="91" t="s">
        <v>264</v>
      </c>
      <c r="O1445" s="82" t="s">
        <v>1550</v>
      </c>
      <c r="P1445" s="133"/>
      <c r="Q1445" s="133"/>
      <c r="R1445" s="147" t="e">
        <f t="shared" ref="R1445:R1508" si="161">O1445+P1445+Q1445</f>
        <v>#VALUE!</v>
      </c>
      <c r="S1445" s="59"/>
    </row>
    <row r="1446" spans="1:19" ht="31.5" hidden="1" x14ac:dyDescent="0.25">
      <c r="A1446" s="201"/>
      <c r="B1446" s="182"/>
      <c r="C1446" s="182"/>
      <c r="D1446" s="182"/>
      <c r="E1446" s="182"/>
      <c r="F1446" s="169"/>
      <c r="G1446" s="169"/>
      <c r="H1446" s="200"/>
      <c r="I1446" s="200"/>
      <c r="J1446" s="211"/>
      <c r="K1446" s="182"/>
      <c r="L1446" s="200"/>
      <c r="M1446" s="71" t="s">
        <v>1552</v>
      </c>
      <c r="N1446" s="91" t="s">
        <v>264</v>
      </c>
      <c r="O1446" s="82" t="s">
        <v>1550</v>
      </c>
      <c r="P1446" s="133"/>
      <c r="Q1446" s="133"/>
      <c r="R1446" s="147" t="e">
        <f t="shared" si="161"/>
        <v>#VALUE!</v>
      </c>
      <c r="S1446" s="59"/>
    </row>
    <row r="1447" spans="1:19" ht="31.5" hidden="1" x14ac:dyDescent="0.25">
      <c r="A1447" s="202"/>
      <c r="B1447" s="183"/>
      <c r="C1447" s="183"/>
      <c r="D1447" s="183"/>
      <c r="E1447" s="183"/>
      <c r="F1447" s="169"/>
      <c r="G1447" s="169"/>
      <c r="H1447" s="200"/>
      <c r="I1447" s="200"/>
      <c r="J1447" s="211"/>
      <c r="K1447" s="183"/>
      <c r="L1447" s="200"/>
      <c r="M1447" s="71" t="s">
        <v>1553</v>
      </c>
      <c r="N1447" s="91" t="s">
        <v>186</v>
      </c>
      <c r="O1447" s="82" t="s">
        <v>1550</v>
      </c>
      <c r="P1447" s="133"/>
      <c r="Q1447" s="133"/>
      <c r="R1447" s="147" t="e">
        <f t="shared" si="161"/>
        <v>#VALUE!</v>
      </c>
      <c r="S1447" s="59"/>
    </row>
    <row r="1448" spans="1:19" x14ac:dyDescent="0.25">
      <c r="A1448" s="201">
        <f>A1418+1</f>
        <v>3</v>
      </c>
      <c r="B1448" s="181" t="s">
        <v>60</v>
      </c>
      <c r="C1448" s="181" t="s">
        <v>1554</v>
      </c>
      <c r="D1448" s="181" t="s">
        <v>1555</v>
      </c>
      <c r="E1448" s="190" t="s">
        <v>61</v>
      </c>
      <c r="F1448" s="170" t="s">
        <v>1556</v>
      </c>
      <c r="G1448" s="171"/>
      <c r="H1448" s="193" t="s">
        <v>1557</v>
      </c>
      <c r="I1448" s="194"/>
      <c r="J1448" s="208"/>
      <c r="K1448" s="181"/>
      <c r="L1448" s="169">
        <f>849/1000</f>
        <v>0.84899999999999998</v>
      </c>
      <c r="M1448" s="65" t="s">
        <v>1558</v>
      </c>
      <c r="N1448" s="160">
        <v>250</v>
      </c>
      <c r="O1448" s="47">
        <v>127.6</v>
      </c>
      <c r="P1448" s="125"/>
      <c r="Q1448" s="125"/>
      <c r="R1448" s="147">
        <f t="shared" si="161"/>
        <v>127.6</v>
      </c>
      <c r="S1448" s="2">
        <f t="shared" ref="S1448:S1457" si="162">R1448/(N1448*0.92)</f>
        <v>0.5547826086956521</v>
      </c>
    </row>
    <row r="1449" spans="1:19" x14ac:dyDescent="0.25">
      <c r="A1449" s="201"/>
      <c r="B1449" s="182"/>
      <c r="C1449" s="182"/>
      <c r="D1449" s="182"/>
      <c r="E1449" s="206"/>
      <c r="F1449" s="172"/>
      <c r="G1449" s="173"/>
      <c r="H1449" s="195"/>
      <c r="I1449" s="196"/>
      <c r="J1449" s="209"/>
      <c r="K1449" s="182"/>
      <c r="L1449" s="169"/>
      <c r="M1449" s="71" t="s">
        <v>1559</v>
      </c>
      <c r="N1449" s="91">
        <v>250</v>
      </c>
      <c r="O1449" s="91">
        <v>91.4</v>
      </c>
      <c r="P1449" s="122"/>
      <c r="Q1449" s="122"/>
      <c r="R1449" s="147">
        <f t="shared" si="161"/>
        <v>91.4</v>
      </c>
      <c r="S1449" s="2">
        <f t="shared" si="162"/>
        <v>0.3973913043478261</v>
      </c>
    </row>
    <row r="1450" spans="1:19" x14ac:dyDescent="0.25">
      <c r="A1450" s="201"/>
      <c r="B1450" s="182"/>
      <c r="C1450" s="182"/>
      <c r="D1450" s="182"/>
      <c r="E1450" s="206"/>
      <c r="F1450" s="172"/>
      <c r="G1450" s="173"/>
      <c r="H1450" s="195"/>
      <c r="I1450" s="196"/>
      <c r="J1450" s="209"/>
      <c r="K1450" s="182"/>
      <c r="L1450" s="169"/>
      <c r="M1450" s="71" t="s">
        <v>1560</v>
      </c>
      <c r="N1450" s="91">
        <v>400</v>
      </c>
      <c r="O1450" s="91">
        <v>208</v>
      </c>
      <c r="P1450" s="122"/>
      <c r="Q1450" s="122"/>
      <c r="R1450" s="147">
        <f t="shared" si="161"/>
        <v>208</v>
      </c>
      <c r="S1450" s="2">
        <f t="shared" si="162"/>
        <v>0.56521739130434778</v>
      </c>
    </row>
    <row r="1451" spans="1:19" x14ac:dyDescent="0.25">
      <c r="A1451" s="201"/>
      <c r="B1451" s="182"/>
      <c r="C1451" s="182"/>
      <c r="D1451" s="182"/>
      <c r="E1451" s="206"/>
      <c r="F1451" s="172"/>
      <c r="G1451" s="173"/>
      <c r="H1451" s="195"/>
      <c r="I1451" s="196"/>
      <c r="J1451" s="209"/>
      <c r="K1451" s="182"/>
      <c r="L1451" s="169"/>
      <c r="M1451" s="71" t="s">
        <v>1561</v>
      </c>
      <c r="N1451" s="91">
        <v>250</v>
      </c>
      <c r="O1451" s="91">
        <v>72.400000000000006</v>
      </c>
      <c r="P1451" s="122"/>
      <c r="Q1451" s="122">
        <f>3</f>
        <v>3</v>
      </c>
      <c r="R1451" s="147">
        <f t="shared" si="161"/>
        <v>75.400000000000006</v>
      </c>
      <c r="S1451" s="2">
        <f t="shared" si="162"/>
        <v>0.32782608695652177</v>
      </c>
    </row>
    <row r="1452" spans="1:19" x14ac:dyDescent="0.25">
      <c r="A1452" s="201"/>
      <c r="B1452" s="182"/>
      <c r="C1452" s="182"/>
      <c r="D1452" s="182"/>
      <c r="E1452" s="206"/>
      <c r="F1452" s="172"/>
      <c r="G1452" s="173"/>
      <c r="H1452" s="195"/>
      <c r="I1452" s="196"/>
      <c r="J1452" s="209"/>
      <c r="K1452" s="182"/>
      <c r="L1452" s="169"/>
      <c r="M1452" s="71" t="s">
        <v>1562</v>
      </c>
      <c r="N1452" s="91">
        <v>250</v>
      </c>
      <c r="O1452" s="91">
        <v>124</v>
      </c>
      <c r="P1452" s="122"/>
      <c r="Q1452" s="122">
        <f>15</f>
        <v>15</v>
      </c>
      <c r="R1452" s="147">
        <f t="shared" si="161"/>
        <v>139</v>
      </c>
      <c r="S1452" s="2">
        <f t="shared" si="162"/>
        <v>0.60434782608695647</v>
      </c>
    </row>
    <row r="1453" spans="1:19" x14ac:dyDescent="0.25">
      <c r="A1453" s="201"/>
      <c r="B1453" s="182"/>
      <c r="C1453" s="182"/>
      <c r="D1453" s="182"/>
      <c r="E1453" s="206"/>
      <c r="F1453" s="172"/>
      <c r="G1453" s="173"/>
      <c r="H1453" s="195"/>
      <c r="I1453" s="196"/>
      <c r="J1453" s="209"/>
      <c r="K1453" s="182"/>
      <c r="L1453" s="169"/>
      <c r="M1453" s="71" t="s">
        <v>1563</v>
      </c>
      <c r="N1453" s="91">
        <v>250</v>
      </c>
      <c r="O1453" s="91">
        <v>78.400000000000006</v>
      </c>
      <c r="P1453" s="122"/>
      <c r="Q1453" s="122"/>
      <c r="R1453" s="147">
        <f t="shared" si="161"/>
        <v>78.400000000000006</v>
      </c>
      <c r="S1453" s="2">
        <f t="shared" si="162"/>
        <v>0.34086956521739131</v>
      </c>
    </row>
    <row r="1454" spans="1:19" x14ac:dyDescent="0.25">
      <c r="A1454" s="201"/>
      <c r="B1454" s="182"/>
      <c r="C1454" s="182"/>
      <c r="D1454" s="182"/>
      <c r="E1454" s="206"/>
      <c r="F1454" s="172"/>
      <c r="G1454" s="173"/>
      <c r="H1454" s="195"/>
      <c r="I1454" s="196"/>
      <c r="J1454" s="209"/>
      <c r="K1454" s="182"/>
      <c r="L1454" s="169"/>
      <c r="M1454" s="71" t="s">
        <v>1564</v>
      </c>
      <c r="N1454" s="160">
        <v>250</v>
      </c>
      <c r="O1454" s="91">
        <v>0.2</v>
      </c>
      <c r="P1454" s="122"/>
      <c r="Q1454" s="122"/>
      <c r="R1454" s="147">
        <f t="shared" si="161"/>
        <v>0.2</v>
      </c>
      <c r="S1454" s="2">
        <f t="shared" si="162"/>
        <v>8.6956521739130438E-4</v>
      </c>
    </row>
    <row r="1455" spans="1:19" x14ac:dyDescent="0.25">
      <c r="A1455" s="201"/>
      <c r="B1455" s="182"/>
      <c r="C1455" s="182"/>
      <c r="D1455" s="182"/>
      <c r="E1455" s="206"/>
      <c r="F1455" s="172"/>
      <c r="G1455" s="173"/>
      <c r="H1455" s="195"/>
      <c r="I1455" s="196"/>
      <c r="J1455" s="209"/>
      <c r="K1455" s="182"/>
      <c r="L1455" s="169"/>
      <c r="M1455" s="71" t="s">
        <v>1565</v>
      </c>
      <c r="N1455" s="160">
        <v>250</v>
      </c>
      <c r="O1455" s="47">
        <v>29.6</v>
      </c>
      <c r="P1455" s="125"/>
      <c r="Q1455" s="125">
        <f>15</f>
        <v>15</v>
      </c>
      <c r="R1455" s="147">
        <f t="shared" si="161"/>
        <v>44.6</v>
      </c>
      <c r="S1455" s="2">
        <f t="shared" si="162"/>
        <v>0.19391304347826088</v>
      </c>
    </row>
    <row r="1456" spans="1:19" x14ac:dyDescent="0.25">
      <c r="A1456" s="201"/>
      <c r="B1456" s="182"/>
      <c r="C1456" s="182"/>
      <c r="D1456" s="182"/>
      <c r="E1456" s="206"/>
      <c r="F1456" s="174"/>
      <c r="G1456" s="175"/>
      <c r="H1456" s="195"/>
      <c r="I1456" s="196"/>
      <c r="J1456" s="209"/>
      <c r="K1456" s="183"/>
      <c r="L1456" s="169"/>
      <c r="M1456" s="71" t="s">
        <v>1566</v>
      </c>
      <c r="N1456" s="61">
        <v>400</v>
      </c>
      <c r="O1456" s="57">
        <v>102</v>
      </c>
      <c r="P1456" s="124"/>
      <c r="Q1456" s="124"/>
      <c r="R1456" s="147">
        <f t="shared" si="161"/>
        <v>102</v>
      </c>
      <c r="S1456" s="2">
        <f t="shared" si="162"/>
        <v>0.27717391304347827</v>
      </c>
    </row>
    <row r="1457" spans="1:19" x14ac:dyDescent="0.25">
      <c r="A1457" s="201"/>
      <c r="B1457" s="182"/>
      <c r="C1457" s="182"/>
      <c r="D1457" s="182"/>
      <c r="E1457" s="206"/>
      <c r="F1457" s="193" t="s">
        <v>1567</v>
      </c>
      <c r="G1457" s="194"/>
      <c r="H1457" s="195"/>
      <c r="I1457" s="196"/>
      <c r="J1457" s="169"/>
      <c r="K1457" s="182"/>
      <c r="L1457" s="169">
        <f>715/1000</f>
        <v>0.71499999999999997</v>
      </c>
      <c r="M1457" s="71" t="s">
        <v>1564</v>
      </c>
      <c r="N1457" s="160">
        <v>250</v>
      </c>
      <c r="O1457" s="91">
        <v>118.2</v>
      </c>
      <c r="P1457" s="122"/>
      <c r="Q1457" s="122"/>
      <c r="R1457" s="147">
        <f t="shared" si="161"/>
        <v>118.2</v>
      </c>
      <c r="S1457" s="2">
        <f t="shared" si="162"/>
        <v>0.51391304347826083</v>
      </c>
    </row>
    <row r="1458" spans="1:19" hidden="1" x14ac:dyDescent="0.25">
      <c r="A1458" s="201"/>
      <c r="B1458" s="182"/>
      <c r="C1458" s="182"/>
      <c r="D1458" s="182"/>
      <c r="E1458" s="206"/>
      <c r="F1458" s="195"/>
      <c r="G1458" s="196"/>
      <c r="H1458" s="195"/>
      <c r="I1458" s="196"/>
      <c r="J1458" s="169"/>
      <c r="K1458" s="182"/>
      <c r="L1458" s="169"/>
      <c r="M1458" s="71" t="s">
        <v>1568</v>
      </c>
      <c r="N1458" s="91" t="s">
        <v>1376</v>
      </c>
      <c r="O1458" s="64" t="s">
        <v>1348</v>
      </c>
      <c r="P1458" s="131"/>
      <c r="Q1458" s="131"/>
      <c r="R1458" s="147">
        <f t="shared" si="161"/>
        <v>0</v>
      </c>
      <c r="S1458" s="68"/>
    </row>
    <row r="1459" spans="1:19" x14ac:dyDescent="0.25">
      <c r="A1459" s="201"/>
      <c r="B1459" s="182"/>
      <c r="C1459" s="182"/>
      <c r="D1459" s="182"/>
      <c r="E1459" s="206"/>
      <c r="F1459" s="195"/>
      <c r="G1459" s="196"/>
      <c r="H1459" s="195"/>
      <c r="I1459" s="196"/>
      <c r="J1459" s="169"/>
      <c r="K1459" s="182"/>
      <c r="L1459" s="169"/>
      <c r="M1459" s="71" t="s">
        <v>1569</v>
      </c>
      <c r="N1459" s="61">
        <v>400</v>
      </c>
      <c r="O1459" s="91">
        <v>95</v>
      </c>
      <c r="P1459" s="122"/>
      <c r="Q1459" s="122"/>
      <c r="R1459" s="147">
        <f t="shared" si="161"/>
        <v>95</v>
      </c>
      <c r="S1459" s="2">
        <f t="shared" ref="S1459:S1471" si="163">R1459/(N1459*0.92)</f>
        <v>0.25815217391304346</v>
      </c>
    </row>
    <row r="1460" spans="1:19" x14ac:dyDescent="0.25">
      <c r="A1460" s="201"/>
      <c r="B1460" s="182"/>
      <c r="C1460" s="182"/>
      <c r="D1460" s="182"/>
      <c r="E1460" s="206"/>
      <c r="F1460" s="195"/>
      <c r="G1460" s="196"/>
      <c r="H1460" s="195"/>
      <c r="I1460" s="196"/>
      <c r="J1460" s="169"/>
      <c r="K1460" s="182"/>
      <c r="L1460" s="169"/>
      <c r="M1460" s="71" t="s">
        <v>1570</v>
      </c>
      <c r="N1460" s="160">
        <v>250</v>
      </c>
      <c r="O1460" s="57">
        <v>16</v>
      </c>
      <c r="P1460" s="124"/>
      <c r="Q1460" s="124"/>
      <c r="R1460" s="147">
        <f t="shared" si="161"/>
        <v>16</v>
      </c>
      <c r="S1460" s="2">
        <f t="shared" si="163"/>
        <v>6.9565217391304349E-2</v>
      </c>
    </row>
    <row r="1461" spans="1:19" x14ac:dyDescent="0.25">
      <c r="A1461" s="201"/>
      <c r="B1461" s="182"/>
      <c r="C1461" s="182"/>
      <c r="D1461" s="182"/>
      <c r="E1461" s="206"/>
      <c r="F1461" s="195"/>
      <c r="G1461" s="196"/>
      <c r="H1461" s="195"/>
      <c r="I1461" s="196"/>
      <c r="J1461" s="169"/>
      <c r="K1461" s="182"/>
      <c r="L1461" s="169"/>
      <c r="M1461" s="71" t="s">
        <v>1571</v>
      </c>
      <c r="N1461" s="91">
        <v>250</v>
      </c>
      <c r="O1461" s="91">
        <v>196.8</v>
      </c>
      <c r="P1461" s="122"/>
      <c r="Q1461" s="122"/>
      <c r="R1461" s="147">
        <f t="shared" si="161"/>
        <v>196.8</v>
      </c>
      <c r="S1461" s="2">
        <f t="shared" si="163"/>
        <v>0.85565217391304349</v>
      </c>
    </row>
    <row r="1462" spans="1:19" x14ac:dyDescent="0.25">
      <c r="A1462" s="201"/>
      <c r="B1462" s="182"/>
      <c r="C1462" s="182"/>
      <c r="D1462" s="182"/>
      <c r="E1462" s="206"/>
      <c r="F1462" s="195"/>
      <c r="G1462" s="196"/>
      <c r="H1462" s="195"/>
      <c r="I1462" s="196"/>
      <c r="J1462" s="169"/>
      <c r="K1462" s="182"/>
      <c r="L1462" s="169"/>
      <c r="M1462" s="71" t="s">
        <v>1572</v>
      </c>
      <c r="N1462" s="91">
        <v>250</v>
      </c>
      <c r="O1462" s="91">
        <v>177.6</v>
      </c>
      <c r="P1462" s="122"/>
      <c r="Q1462" s="122"/>
      <c r="R1462" s="147">
        <f t="shared" si="161"/>
        <v>177.6</v>
      </c>
      <c r="S1462" s="2">
        <f t="shared" si="163"/>
        <v>0.77217391304347827</v>
      </c>
    </row>
    <row r="1463" spans="1:19" x14ac:dyDescent="0.25">
      <c r="A1463" s="201"/>
      <c r="B1463" s="182"/>
      <c r="C1463" s="182"/>
      <c r="D1463" s="182"/>
      <c r="E1463" s="206"/>
      <c r="F1463" s="195"/>
      <c r="G1463" s="196"/>
      <c r="H1463" s="195"/>
      <c r="I1463" s="196"/>
      <c r="J1463" s="169"/>
      <c r="K1463" s="182"/>
      <c r="L1463" s="169"/>
      <c r="M1463" s="71" t="s">
        <v>1573</v>
      </c>
      <c r="N1463" s="91">
        <v>250</v>
      </c>
      <c r="O1463" s="46">
        <v>135.4</v>
      </c>
      <c r="P1463" s="134"/>
      <c r="Q1463" s="134"/>
      <c r="R1463" s="147">
        <f t="shared" si="161"/>
        <v>135.4</v>
      </c>
      <c r="S1463" s="2">
        <f t="shared" si="163"/>
        <v>0.58869565217391306</v>
      </c>
    </row>
    <row r="1464" spans="1:19" x14ac:dyDescent="0.25">
      <c r="A1464" s="202"/>
      <c r="B1464" s="183"/>
      <c r="C1464" s="183"/>
      <c r="D1464" s="183"/>
      <c r="E1464" s="207"/>
      <c r="F1464" s="197"/>
      <c r="G1464" s="198"/>
      <c r="H1464" s="197"/>
      <c r="I1464" s="198"/>
      <c r="J1464" s="169"/>
      <c r="K1464" s="183"/>
      <c r="L1464" s="169"/>
      <c r="M1464" s="71" t="s">
        <v>1574</v>
      </c>
      <c r="N1464" s="91">
        <v>160</v>
      </c>
      <c r="O1464" s="91">
        <v>2.4</v>
      </c>
      <c r="P1464" s="122"/>
      <c r="Q1464" s="122"/>
      <c r="R1464" s="147">
        <f t="shared" si="161"/>
        <v>2.4</v>
      </c>
      <c r="S1464" s="2">
        <f t="shared" si="163"/>
        <v>1.6304347826086953E-2</v>
      </c>
    </row>
    <row r="1465" spans="1:19" x14ac:dyDescent="0.25">
      <c r="A1465" s="203">
        <f>A1448+1</f>
        <v>4</v>
      </c>
      <c r="B1465" s="181" t="s">
        <v>1575</v>
      </c>
      <c r="C1465" s="182" t="s">
        <v>1576</v>
      </c>
      <c r="D1465" s="182" t="s">
        <v>1555</v>
      </c>
      <c r="E1465" s="191" t="s">
        <v>1577</v>
      </c>
      <c r="F1465" s="172" t="s">
        <v>1578</v>
      </c>
      <c r="G1465" s="173"/>
      <c r="H1465" s="195" t="s">
        <v>1557</v>
      </c>
      <c r="I1465" s="196"/>
      <c r="J1465" s="182"/>
      <c r="K1465" s="181"/>
      <c r="L1465" s="169">
        <f>207/1000</f>
        <v>0.20699999999999999</v>
      </c>
      <c r="M1465" s="65" t="s">
        <v>1579</v>
      </c>
      <c r="N1465" s="47">
        <v>160</v>
      </c>
      <c r="O1465" s="47">
        <v>46.4</v>
      </c>
      <c r="P1465" s="125"/>
      <c r="Q1465" s="125"/>
      <c r="R1465" s="147">
        <f t="shared" si="161"/>
        <v>46.4</v>
      </c>
      <c r="S1465" s="2">
        <f t="shared" si="163"/>
        <v>0.31521739130434778</v>
      </c>
    </row>
    <row r="1466" spans="1:19" x14ac:dyDescent="0.25">
      <c r="A1466" s="201"/>
      <c r="B1466" s="182"/>
      <c r="C1466" s="182"/>
      <c r="D1466" s="182"/>
      <c r="E1466" s="191"/>
      <c r="F1466" s="172"/>
      <c r="G1466" s="173"/>
      <c r="H1466" s="195"/>
      <c r="I1466" s="196"/>
      <c r="J1466" s="182"/>
      <c r="K1466" s="182"/>
      <c r="L1466" s="169"/>
      <c r="M1466" s="71" t="s">
        <v>1580</v>
      </c>
      <c r="N1466" s="91">
        <v>250</v>
      </c>
      <c r="O1466" s="91">
        <v>55.4</v>
      </c>
      <c r="P1466" s="122"/>
      <c r="Q1466" s="122"/>
      <c r="R1466" s="147">
        <f t="shared" si="161"/>
        <v>55.4</v>
      </c>
      <c r="S1466" s="2">
        <f t="shared" si="163"/>
        <v>0.24086956521739131</v>
      </c>
    </row>
    <row r="1467" spans="1:19" x14ac:dyDescent="0.25">
      <c r="A1467" s="201"/>
      <c r="B1467" s="182"/>
      <c r="C1467" s="182"/>
      <c r="D1467" s="182"/>
      <c r="E1467" s="191"/>
      <c r="F1467" s="174"/>
      <c r="G1467" s="175"/>
      <c r="H1467" s="195"/>
      <c r="I1467" s="196"/>
      <c r="J1467" s="182"/>
      <c r="K1467" s="183"/>
      <c r="L1467" s="169"/>
      <c r="M1467" s="65" t="s">
        <v>1581</v>
      </c>
      <c r="N1467" s="47">
        <v>160</v>
      </c>
      <c r="O1467" s="91">
        <v>109</v>
      </c>
      <c r="P1467" s="122"/>
      <c r="Q1467" s="122"/>
      <c r="R1467" s="147">
        <f t="shared" si="161"/>
        <v>109</v>
      </c>
      <c r="S1467" s="2">
        <f t="shared" si="163"/>
        <v>0.74048913043478248</v>
      </c>
    </row>
    <row r="1468" spans="1:19" x14ac:dyDescent="0.25">
      <c r="A1468" s="201"/>
      <c r="B1468" s="182"/>
      <c r="C1468" s="182"/>
      <c r="D1468" s="182"/>
      <c r="E1468" s="191"/>
      <c r="F1468" s="200" t="s">
        <v>1582</v>
      </c>
      <c r="G1468" s="200"/>
      <c r="H1468" s="195"/>
      <c r="I1468" s="196"/>
      <c r="J1468" s="182"/>
      <c r="K1468" s="181"/>
      <c r="L1468" s="169">
        <f>605/1000</f>
        <v>0.60499999999999998</v>
      </c>
      <c r="M1468" s="71" t="s">
        <v>1583</v>
      </c>
      <c r="N1468" s="47">
        <v>160</v>
      </c>
      <c r="O1468" s="91">
        <v>121.4</v>
      </c>
      <c r="P1468" s="122"/>
      <c r="Q1468" s="122">
        <f>15+10</f>
        <v>25</v>
      </c>
      <c r="R1468" s="147">
        <f t="shared" si="161"/>
        <v>146.4</v>
      </c>
      <c r="S1468" s="2">
        <f t="shared" si="163"/>
        <v>0.99456521739130432</v>
      </c>
    </row>
    <row r="1469" spans="1:19" x14ac:dyDescent="0.25">
      <c r="A1469" s="201"/>
      <c r="B1469" s="182"/>
      <c r="C1469" s="182"/>
      <c r="D1469" s="182"/>
      <c r="E1469" s="191"/>
      <c r="F1469" s="200"/>
      <c r="G1469" s="200"/>
      <c r="H1469" s="195"/>
      <c r="I1469" s="196"/>
      <c r="J1469" s="182"/>
      <c r="K1469" s="182"/>
      <c r="L1469" s="169"/>
      <c r="M1469" s="65" t="s">
        <v>1584</v>
      </c>
      <c r="N1469" s="91">
        <v>250</v>
      </c>
      <c r="O1469" s="91">
        <v>49</v>
      </c>
      <c r="P1469" s="122"/>
      <c r="Q1469" s="122"/>
      <c r="R1469" s="147">
        <f t="shared" si="161"/>
        <v>49</v>
      </c>
      <c r="S1469" s="2">
        <f t="shared" si="163"/>
        <v>0.21304347826086956</v>
      </c>
    </row>
    <row r="1470" spans="1:19" x14ac:dyDescent="0.25">
      <c r="A1470" s="201"/>
      <c r="B1470" s="182"/>
      <c r="C1470" s="182"/>
      <c r="D1470" s="182"/>
      <c r="E1470" s="191"/>
      <c r="F1470" s="200"/>
      <c r="G1470" s="200"/>
      <c r="H1470" s="195"/>
      <c r="I1470" s="196"/>
      <c r="J1470" s="182"/>
      <c r="K1470" s="182"/>
      <c r="L1470" s="169"/>
      <c r="M1470" s="65" t="s">
        <v>1585</v>
      </c>
      <c r="N1470" s="91">
        <v>400</v>
      </c>
      <c r="O1470" s="91">
        <v>137.80000000000001</v>
      </c>
      <c r="P1470" s="122"/>
      <c r="Q1470" s="122"/>
      <c r="R1470" s="147">
        <f t="shared" si="161"/>
        <v>137.80000000000001</v>
      </c>
      <c r="S1470" s="2">
        <f t="shared" si="163"/>
        <v>0.37445652173913047</v>
      </c>
    </row>
    <row r="1471" spans="1:19" x14ac:dyDescent="0.25">
      <c r="A1471" s="201"/>
      <c r="B1471" s="182"/>
      <c r="C1471" s="182"/>
      <c r="D1471" s="182"/>
      <c r="E1471" s="191"/>
      <c r="F1471" s="200"/>
      <c r="G1471" s="200"/>
      <c r="H1471" s="195"/>
      <c r="I1471" s="196"/>
      <c r="J1471" s="182"/>
      <c r="K1471" s="182"/>
      <c r="L1471" s="169"/>
      <c r="M1471" s="65" t="s">
        <v>1586</v>
      </c>
      <c r="N1471" s="91">
        <v>160</v>
      </c>
      <c r="O1471" s="91">
        <v>7.6</v>
      </c>
      <c r="P1471" s="122"/>
      <c r="Q1471" s="122"/>
      <c r="R1471" s="147">
        <f t="shared" si="161"/>
        <v>7.6</v>
      </c>
      <c r="S1471" s="2">
        <f t="shared" si="163"/>
        <v>5.1630434782608689E-2</v>
      </c>
    </row>
    <row r="1472" spans="1:19" hidden="1" x14ac:dyDescent="0.25">
      <c r="A1472" s="201"/>
      <c r="B1472" s="182"/>
      <c r="C1472" s="182"/>
      <c r="D1472" s="182"/>
      <c r="E1472" s="191"/>
      <c r="F1472" s="200"/>
      <c r="G1472" s="200"/>
      <c r="H1472" s="195"/>
      <c r="I1472" s="196"/>
      <c r="J1472" s="182"/>
      <c r="K1472" s="182"/>
      <c r="L1472" s="169"/>
      <c r="M1472" s="65" t="s">
        <v>1587</v>
      </c>
      <c r="N1472" s="91">
        <v>400</v>
      </c>
      <c r="O1472" s="72" t="s">
        <v>1588</v>
      </c>
      <c r="P1472" s="135"/>
      <c r="Q1472" s="135"/>
      <c r="R1472" s="147" t="e">
        <f t="shared" si="161"/>
        <v>#VALUE!</v>
      </c>
      <c r="S1472" s="59"/>
    </row>
    <row r="1473" spans="1:19" x14ac:dyDescent="0.25">
      <c r="A1473" s="202"/>
      <c r="B1473" s="183"/>
      <c r="C1473" s="182"/>
      <c r="D1473" s="182"/>
      <c r="E1473" s="191"/>
      <c r="F1473" s="200"/>
      <c r="G1473" s="200"/>
      <c r="H1473" s="197"/>
      <c r="I1473" s="198"/>
      <c r="J1473" s="183"/>
      <c r="K1473" s="183"/>
      <c r="L1473" s="169"/>
      <c r="M1473" s="71" t="s">
        <v>1589</v>
      </c>
      <c r="N1473" s="91">
        <v>630</v>
      </c>
      <c r="O1473" s="91">
        <v>235.4</v>
      </c>
      <c r="P1473" s="122"/>
      <c r="Q1473" s="122"/>
      <c r="R1473" s="147">
        <f t="shared" si="161"/>
        <v>235.4</v>
      </c>
      <c r="S1473" s="2">
        <f t="shared" ref="S1473:S1474" si="164">R1473/(N1473*0.92)</f>
        <v>0.40614216701173222</v>
      </c>
    </row>
    <row r="1474" spans="1:19" x14ac:dyDescent="0.25">
      <c r="A1474" s="201">
        <f>A1465+1</f>
        <v>5</v>
      </c>
      <c r="B1474" s="181" t="s">
        <v>1590</v>
      </c>
      <c r="C1474" s="181" t="s">
        <v>1591</v>
      </c>
      <c r="D1474" s="181" t="s">
        <v>1592</v>
      </c>
      <c r="E1474" s="190" t="s">
        <v>1593</v>
      </c>
      <c r="F1474" s="169" t="s">
        <v>1594</v>
      </c>
      <c r="G1474" s="169"/>
      <c r="H1474" s="170" t="s">
        <v>1557</v>
      </c>
      <c r="I1474" s="171"/>
      <c r="J1474" s="181"/>
      <c r="K1474" s="181"/>
      <c r="L1474" s="169"/>
      <c r="M1474" s="65" t="s">
        <v>1595</v>
      </c>
      <c r="N1474" s="91">
        <v>160</v>
      </c>
      <c r="O1474" s="91">
        <v>248.2</v>
      </c>
      <c r="P1474" s="122"/>
      <c r="Q1474" s="122">
        <f>15+10</f>
        <v>25</v>
      </c>
      <c r="R1474" s="147">
        <f t="shared" si="161"/>
        <v>273.2</v>
      </c>
      <c r="S1474" s="2">
        <f t="shared" si="164"/>
        <v>1.855978260869565</v>
      </c>
    </row>
    <row r="1475" spans="1:19" hidden="1" x14ac:dyDescent="0.25">
      <c r="A1475" s="201"/>
      <c r="B1475" s="182"/>
      <c r="C1475" s="182"/>
      <c r="D1475" s="182"/>
      <c r="E1475" s="191"/>
      <c r="F1475" s="169"/>
      <c r="G1475" s="169"/>
      <c r="H1475" s="172"/>
      <c r="I1475" s="173"/>
      <c r="J1475" s="182"/>
      <c r="K1475" s="182"/>
      <c r="L1475" s="169"/>
      <c r="M1475" s="71" t="s">
        <v>1596</v>
      </c>
      <c r="N1475" s="91">
        <v>100</v>
      </c>
      <c r="O1475" s="64" t="s">
        <v>1348</v>
      </c>
      <c r="P1475" s="130"/>
      <c r="Q1475" s="130"/>
      <c r="R1475" s="147">
        <f t="shared" si="161"/>
        <v>0</v>
      </c>
      <c r="S1475" s="59"/>
    </row>
    <row r="1476" spans="1:19" x14ac:dyDescent="0.25">
      <c r="A1476" s="201"/>
      <c r="B1476" s="182"/>
      <c r="C1476" s="183"/>
      <c r="D1476" s="183"/>
      <c r="E1476" s="192"/>
      <c r="F1476" s="169"/>
      <c r="G1476" s="169"/>
      <c r="H1476" s="174"/>
      <c r="I1476" s="175"/>
      <c r="J1476" s="183"/>
      <c r="K1476" s="183"/>
      <c r="L1476" s="169"/>
      <c r="M1476" s="71" t="s">
        <v>1597</v>
      </c>
      <c r="N1476" s="91">
        <v>400</v>
      </c>
      <c r="O1476" s="57">
        <v>15</v>
      </c>
      <c r="P1476" s="124"/>
      <c r="Q1476" s="124" t="s">
        <v>2131</v>
      </c>
      <c r="R1476" s="147">
        <f t="shared" si="161"/>
        <v>30</v>
      </c>
      <c r="S1476" s="2">
        <f t="shared" ref="S1476:S1524" si="165">R1476/(N1476*0.92)</f>
        <v>8.1521739130434784E-2</v>
      </c>
    </row>
    <row r="1477" spans="1:19" ht="47.25" x14ac:dyDescent="0.25">
      <c r="A1477" s="201"/>
      <c r="B1477" s="182"/>
      <c r="C1477" s="45" t="s">
        <v>1598</v>
      </c>
      <c r="D1477" s="45" t="s">
        <v>1592</v>
      </c>
      <c r="E1477" s="65"/>
      <c r="F1477" s="200" t="s">
        <v>1599</v>
      </c>
      <c r="G1477" s="200"/>
      <c r="H1477" s="176" t="s">
        <v>1557</v>
      </c>
      <c r="I1477" s="177"/>
      <c r="J1477" s="45"/>
      <c r="K1477" s="88"/>
      <c r="L1477" s="88"/>
      <c r="M1477" s="71" t="s">
        <v>1600</v>
      </c>
      <c r="N1477" s="91">
        <v>160</v>
      </c>
      <c r="O1477" s="91">
        <v>27.8</v>
      </c>
      <c r="P1477" s="122"/>
      <c r="Q1477" s="122"/>
      <c r="R1477" s="147">
        <f t="shared" si="161"/>
        <v>27.8</v>
      </c>
      <c r="S1477" s="2">
        <f t="shared" si="165"/>
        <v>0.18885869565217389</v>
      </c>
    </row>
    <row r="1478" spans="1:19" x14ac:dyDescent="0.25">
      <c r="A1478" s="201"/>
      <c r="B1478" s="182"/>
      <c r="C1478" s="181" t="s">
        <v>1601</v>
      </c>
      <c r="D1478" s="181" t="s">
        <v>1592</v>
      </c>
      <c r="E1478" s="190" t="s">
        <v>1602</v>
      </c>
      <c r="F1478" s="172" t="s">
        <v>1603</v>
      </c>
      <c r="G1478" s="173"/>
      <c r="H1478" s="170" t="s">
        <v>1557</v>
      </c>
      <c r="I1478" s="171"/>
      <c r="J1478" s="181"/>
      <c r="K1478" s="181"/>
      <c r="L1478" s="169">
        <f>1072/1000</f>
        <v>1.0720000000000001</v>
      </c>
      <c r="M1478" s="65" t="s">
        <v>1604</v>
      </c>
      <c r="N1478" s="86">
        <f>2*400</f>
        <v>800</v>
      </c>
      <c r="O1478" s="91">
        <v>27.33</v>
      </c>
      <c r="P1478" s="122"/>
      <c r="Q1478" s="122"/>
      <c r="R1478" s="147">
        <f t="shared" si="161"/>
        <v>27.33</v>
      </c>
      <c r="S1478" s="2">
        <f t="shared" si="165"/>
        <v>3.7133152173913039E-2</v>
      </c>
    </row>
    <row r="1479" spans="1:19" x14ac:dyDescent="0.25">
      <c r="A1479" s="201"/>
      <c r="B1479" s="182"/>
      <c r="C1479" s="182"/>
      <c r="D1479" s="182"/>
      <c r="E1479" s="191"/>
      <c r="F1479" s="172"/>
      <c r="G1479" s="173"/>
      <c r="H1479" s="172"/>
      <c r="I1479" s="173"/>
      <c r="J1479" s="182"/>
      <c r="K1479" s="182"/>
      <c r="L1479" s="169"/>
      <c r="M1479" s="71" t="s">
        <v>1605</v>
      </c>
      <c r="N1479" s="91">
        <v>400</v>
      </c>
      <c r="O1479" s="91">
        <v>139.4</v>
      </c>
      <c r="P1479" s="122"/>
      <c r="Q1479" s="122">
        <f>100</f>
        <v>100</v>
      </c>
      <c r="R1479" s="147">
        <f t="shared" si="161"/>
        <v>239.4</v>
      </c>
      <c r="S1479" s="2">
        <f t="shared" si="165"/>
        <v>0.65054347826086956</v>
      </c>
    </row>
    <row r="1480" spans="1:19" x14ac:dyDescent="0.25">
      <c r="A1480" s="201"/>
      <c r="B1480" s="182"/>
      <c r="C1480" s="182"/>
      <c r="D1480" s="182"/>
      <c r="E1480" s="191"/>
      <c r="F1480" s="172"/>
      <c r="G1480" s="173"/>
      <c r="H1480" s="172"/>
      <c r="I1480" s="173"/>
      <c r="J1480" s="182"/>
      <c r="K1480" s="182"/>
      <c r="L1480" s="169"/>
      <c r="M1480" s="71" t="s">
        <v>1606</v>
      </c>
      <c r="N1480" s="91">
        <v>160</v>
      </c>
      <c r="O1480" s="91">
        <v>71.599999999999994</v>
      </c>
      <c r="P1480" s="122"/>
      <c r="Q1480" s="122"/>
      <c r="R1480" s="147">
        <f t="shared" si="161"/>
        <v>71.599999999999994</v>
      </c>
      <c r="S1480" s="2">
        <f t="shared" si="165"/>
        <v>0.48641304347826075</v>
      </c>
    </row>
    <row r="1481" spans="1:19" x14ac:dyDescent="0.25">
      <c r="A1481" s="201"/>
      <c r="B1481" s="182"/>
      <c r="C1481" s="182"/>
      <c r="D1481" s="182"/>
      <c r="E1481" s="191"/>
      <c r="F1481" s="172"/>
      <c r="G1481" s="173"/>
      <c r="H1481" s="172"/>
      <c r="I1481" s="173"/>
      <c r="J1481" s="182"/>
      <c r="K1481" s="182"/>
      <c r="L1481" s="169"/>
      <c r="M1481" s="71" t="s">
        <v>1607</v>
      </c>
      <c r="N1481" s="91">
        <v>250</v>
      </c>
      <c r="O1481" s="91">
        <v>101</v>
      </c>
      <c r="P1481" s="122"/>
      <c r="Q1481" s="122"/>
      <c r="R1481" s="147">
        <f t="shared" si="161"/>
        <v>101</v>
      </c>
      <c r="S1481" s="2">
        <f t="shared" si="165"/>
        <v>0.43913043478260871</v>
      </c>
    </row>
    <row r="1482" spans="1:19" x14ac:dyDescent="0.25">
      <c r="A1482" s="201"/>
      <c r="B1482" s="182"/>
      <c r="C1482" s="182"/>
      <c r="D1482" s="182"/>
      <c r="E1482" s="191"/>
      <c r="F1482" s="172"/>
      <c r="G1482" s="173"/>
      <c r="H1482" s="172"/>
      <c r="I1482" s="173"/>
      <c r="J1482" s="182"/>
      <c r="K1482" s="182"/>
      <c r="L1482" s="169"/>
      <c r="M1482" s="71" t="s">
        <v>1608</v>
      </c>
      <c r="N1482" s="91">
        <v>400</v>
      </c>
      <c r="O1482" s="91">
        <v>261</v>
      </c>
      <c r="P1482" s="122"/>
      <c r="Q1482" s="122"/>
      <c r="R1482" s="147">
        <f t="shared" si="161"/>
        <v>261</v>
      </c>
      <c r="S1482" s="2">
        <f t="shared" si="165"/>
        <v>0.70923913043478259</v>
      </c>
    </row>
    <row r="1483" spans="1:19" x14ac:dyDescent="0.25">
      <c r="A1483" s="201"/>
      <c r="B1483" s="182"/>
      <c r="C1483" s="182"/>
      <c r="D1483" s="182"/>
      <c r="E1483" s="191"/>
      <c r="F1483" s="172"/>
      <c r="G1483" s="173"/>
      <c r="H1483" s="172"/>
      <c r="I1483" s="173"/>
      <c r="J1483" s="182"/>
      <c r="K1483" s="182"/>
      <c r="L1483" s="169"/>
      <c r="M1483" s="71" t="s">
        <v>1609</v>
      </c>
      <c r="N1483" s="91">
        <v>250</v>
      </c>
      <c r="O1483" s="91">
        <v>188.4</v>
      </c>
      <c r="P1483" s="122"/>
      <c r="Q1483" s="122"/>
      <c r="R1483" s="147">
        <f t="shared" si="161"/>
        <v>188.4</v>
      </c>
      <c r="S1483" s="2">
        <f t="shared" si="165"/>
        <v>0.81913043478260872</v>
      </c>
    </row>
    <row r="1484" spans="1:19" x14ac:dyDescent="0.25">
      <c r="A1484" s="201"/>
      <c r="B1484" s="182"/>
      <c r="C1484" s="182"/>
      <c r="D1484" s="182"/>
      <c r="E1484" s="191"/>
      <c r="F1484" s="172"/>
      <c r="G1484" s="173"/>
      <c r="H1484" s="172"/>
      <c r="I1484" s="173"/>
      <c r="J1484" s="182"/>
      <c r="K1484" s="182"/>
      <c r="L1484" s="169"/>
      <c r="M1484" s="71" t="s">
        <v>1610</v>
      </c>
      <c r="N1484" s="91">
        <v>400</v>
      </c>
      <c r="O1484" s="91">
        <v>27.8</v>
      </c>
      <c r="P1484" s="122"/>
      <c r="Q1484" s="122"/>
      <c r="R1484" s="147">
        <f t="shared" si="161"/>
        <v>27.8</v>
      </c>
      <c r="S1484" s="2">
        <f t="shared" si="165"/>
        <v>7.5543478260869573E-2</v>
      </c>
    </row>
    <row r="1485" spans="1:19" x14ac:dyDescent="0.25">
      <c r="A1485" s="201"/>
      <c r="B1485" s="182"/>
      <c r="C1485" s="182"/>
      <c r="D1485" s="182"/>
      <c r="E1485" s="191"/>
      <c r="F1485" s="172"/>
      <c r="G1485" s="173"/>
      <c r="H1485" s="172"/>
      <c r="I1485" s="173"/>
      <c r="J1485" s="182"/>
      <c r="K1485" s="182"/>
      <c r="L1485" s="169"/>
      <c r="M1485" s="71" t="s">
        <v>1611</v>
      </c>
      <c r="N1485" s="91">
        <v>250</v>
      </c>
      <c r="O1485" s="91">
        <v>127</v>
      </c>
      <c r="P1485" s="122"/>
      <c r="Q1485" s="122"/>
      <c r="R1485" s="147">
        <f t="shared" si="161"/>
        <v>127</v>
      </c>
      <c r="S1485" s="2">
        <f t="shared" si="165"/>
        <v>0.55217391304347829</v>
      </c>
    </row>
    <row r="1486" spans="1:19" x14ac:dyDescent="0.25">
      <c r="A1486" s="201"/>
      <c r="B1486" s="182"/>
      <c r="C1486" s="182"/>
      <c r="D1486" s="182"/>
      <c r="E1486" s="191"/>
      <c r="F1486" s="172"/>
      <c r="G1486" s="173"/>
      <c r="H1486" s="172"/>
      <c r="I1486" s="173"/>
      <c r="J1486" s="182"/>
      <c r="K1486" s="182"/>
      <c r="L1486" s="169"/>
      <c r="M1486" s="71" t="s">
        <v>1612</v>
      </c>
      <c r="N1486" s="91">
        <v>250</v>
      </c>
      <c r="O1486" s="91">
        <v>37.799999999999997</v>
      </c>
      <c r="P1486" s="122"/>
      <c r="Q1486" s="122"/>
      <c r="R1486" s="147">
        <f t="shared" si="161"/>
        <v>37.799999999999997</v>
      </c>
      <c r="S1486" s="2">
        <f t="shared" si="165"/>
        <v>0.1643478260869565</v>
      </c>
    </row>
    <row r="1487" spans="1:19" x14ac:dyDescent="0.25">
      <c r="A1487" s="201"/>
      <c r="B1487" s="182"/>
      <c r="C1487" s="182"/>
      <c r="D1487" s="182"/>
      <c r="E1487" s="191"/>
      <c r="F1487" s="172"/>
      <c r="G1487" s="173"/>
      <c r="H1487" s="172"/>
      <c r="I1487" s="173"/>
      <c r="J1487" s="182"/>
      <c r="K1487" s="182"/>
      <c r="L1487" s="169"/>
      <c r="M1487" s="71" t="s">
        <v>1613</v>
      </c>
      <c r="N1487" s="91">
        <v>160</v>
      </c>
      <c r="O1487" s="91">
        <v>17.600000000000001</v>
      </c>
      <c r="P1487" s="122"/>
      <c r="Q1487" s="122"/>
      <c r="R1487" s="147">
        <f t="shared" si="161"/>
        <v>17.600000000000001</v>
      </c>
      <c r="S1487" s="2">
        <f t="shared" si="165"/>
        <v>0.11956521739130434</v>
      </c>
    </row>
    <row r="1488" spans="1:19" x14ac:dyDescent="0.25">
      <c r="A1488" s="201"/>
      <c r="B1488" s="182"/>
      <c r="C1488" s="182"/>
      <c r="D1488" s="182"/>
      <c r="E1488" s="191"/>
      <c r="F1488" s="172"/>
      <c r="G1488" s="173"/>
      <c r="H1488" s="172"/>
      <c r="I1488" s="173"/>
      <c r="J1488" s="182"/>
      <c r="K1488" s="182"/>
      <c r="L1488" s="169"/>
      <c r="M1488" s="71" t="s">
        <v>1614</v>
      </c>
      <c r="N1488" s="91">
        <v>100</v>
      </c>
      <c r="O1488" s="91">
        <v>2.4</v>
      </c>
      <c r="P1488" s="122"/>
      <c r="Q1488" s="122"/>
      <c r="R1488" s="147">
        <f t="shared" si="161"/>
        <v>2.4</v>
      </c>
      <c r="S1488" s="2">
        <f t="shared" si="165"/>
        <v>2.6086956521739129E-2</v>
      </c>
    </row>
    <row r="1489" spans="1:19" x14ac:dyDescent="0.25">
      <c r="A1489" s="201"/>
      <c r="B1489" s="182"/>
      <c r="C1489" s="182"/>
      <c r="D1489" s="182"/>
      <c r="E1489" s="191"/>
      <c r="F1489" s="172"/>
      <c r="G1489" s="173"/>
      <c r="H1489" s="172"/>
      <c r="I1489" s="173"/>
      <c r="J1489" s="182"/>
      <c r="K1489" s="182"/>
      <c r="L1489" s="169"/>
      <c r="M1489" s="71" t="s">
        <v>1615</v>
      </c>
      <c r="N1489" s="91">
        <v>250</v>
      </c>
      <c r="O1489" s="91">
        <v>138</v>
      </c>
      <c r="P1489" s="122"/>
      <c r="Q1489" s="122">
        <v>2.5</v>
      </c>
      <c r="R1489" s="147">
        <f t="shared" si="161"/>
        <v>140.5</v>
      </c>
      <c r="S1489" s="2">
        <f t="shared" si="165"/>
        <v>0.61086956521739133</v>
      </c>
    </row>
    <row r="1490" spans="1:19" x14ac:dyDescent="0.25">
      <c r="A1490" s="201"/>
      <c r="B1490" s="182"/>
      <c r="C1490" s="182"/>
      <c r="D1490" s="182"/>
      <c r="E1490" s="191"/>
      <c r="F1490" s="172"/>
      <c r="G1490" s="173"/>
      <c r="H1490" s="172"/>
      <c r="I1490" s="173"/>
      <c r="J1490" s="182"/>
      <c r="K1490" s="182"/>
      <c r="L1490" s="169"/>
      <c r="M1490" s="71" t="s">
        <v>1616</v>
      </c>
      <c r="N1490" s="91">
        <v>250</v>
      </c>
      <c r="O1490" s="91">
        <v>42.6</v>
      </c>
      <c r="P1490" s="122"/>
      <c r="Q1490" s="122"/>
      <c r="R1490" s="147">
        <f t="shared" si="161"/>
        <v>42.6</v>
      </c>
      <c r="S1490" s="2">
        <f t="shared" si="165"/>
        <v>0.18521739130434783</v>
      </c>
    </row>
    <row r="1491" spans="1:19" x14ac:dyDescent="0.25">
      <c r="A1491" s="201"/>
      <c r="B1491" s="182"/>
      <c r="C1491" s="182"/>
      <c r="D1491" s="182"/>
      <c r="E1491" s="191"/>
      <c r="F1491" s="172"/>
      <c r="G1491" s="173"/>
      <c r="H1491" s="172"/>
      <c r="I1491" s="173"/>
      <c r="J1491" s="182"/>
      <c r="K1491" s="182"/>
      <c r="L1491" s="169"/>
      <c r="M1491" s="71" t="s">
        <v>1617</v>
      </c>
      <c r="N1491" s="86">
        <f>2*400</f>
        <v>800</v>
      </c>
      <c r="O1491" s="91">
        <v>226</v>
      </c>
      <c r="P1491" s="122"/>
      <c r="Q1491" s="122"/>
      <c r="R1491" s="147">
        <f t="shared" si="161"/>
        <v>226</v>
      </c>
      <c r="S1491" s="2">
        <f t="shared" si="165"/>
        <v>0.30706521739130432</v>
      </c>
    </row>
    <row r="1492" spans="1:19" x14ac:dyDescent="0.25">
      <c r="A1492" s="202"/>
      <c r="B1492" s="182"/>
      <c r="C1492" s="183"/>
      <c r="D1492" s="183"/>
      <c r="E1492" s="192"/>
      <c r="F1492" s="174"/>
      <c r="G1492" s="175"/>
      <c r="H1492" s="174"/>
      <c r="I1492" s="175"/>
      <c r="J1492" s="183"/>
      <c r="K1492" s="183"/>
      <c r="L1492" s="169"/>
      <c r="M1492" s="71" t="s">
        <v>1618</v>
      </c>
      <c r="N1492" s="91">
        <v>160</v>
      </c>
      <c r="O1492" s="91">
        <v>44.2</v>
      </c>
      <c r="P1492" s="122"/>
      <c r="Q1492" s="122">
        <f>2</f>
        <v>2</v>
      </c>
      <c r="R1492" s="147">
        <f t="shared" si="161"/>
        <v>46.2</v>
      </c>
      <c r="S1492" s="2">
        <f t="shared" si="165"/>
        <v>0.31385869565217389</v>
      </c>
    </row>
    <row r="1493" spans="1:19" x14ac:dyDescent="0.25">
      <c r="A1493" s="203">
        <f>A1474+1</f>
        <v>6</v>
      </c>
      <c r="B1493" s="182"/>
      <c r="C1493" s="181" t="s">
        <v>1619</v>
      </c>
      <c r="D1493" s="181" t="s">
        <v>1592</v>
      </c>
      <c r="E1493" s="190" t="s">
        <v>1620</v>
      </c>
      <c r="F1493" s="200" t="s">
        <v>1621</v>
      </c>
      <c r="G1493" s="200"/>
      <c r="H1493" s="170" t="s">
        <v>1557</v>
      </c>
      <c r="I1493" s="171"/>
      <c r="J1493" s="181"/>
      <c r="K1493" s="181"/>
      <c r="L1493" s="169">
        <f>1169/1000</f>
        <v>1.169</v>
      </c>
      <c r="M1493" s="65" t="s">
        <v>1622</v>
      </c>
      <c r="N1493" s="47">
        <v>400</v>
      </c>
      <c r="O1493" s="91">
        <v>219.6</v>
      </c>
      <c r="P1493" s="122"/>
      <c r="Q1493" s="122"/>
      <c r="R1493" s="147">
        <f t="shared" si="161"/>
        <v>219.6</v>
      </c>
      <c r="S1493" s="2">
        <f t="shared" si="165"/>
        <v>0.59673913043478255</v>
      </c>
    </row>
    <row r="1494" spans="1:19" x14ac:dyDescent="0.25">
      <c r="A1494" s="201"/>
      <c r="B1494" s="182"/>
      <c r="C1494" s="182"/>
      <c r="D1494" s="182"/>
      <c r="E1494" s="191"/>
      <c r="F1494" s="200"/>
      <c r="G1494" s="200"/>
      <c r="H1494" s="172"/>
      <c r="I1494" s="173"/>
      <c r="J1494" s="182"/>
      <c r="K1494" s="182"/>
      <c r="L1494" s="169"/>
      <c r="M1494" s="71" t="s">
        <v>1623</v>
      </c>
      <c r="N1494" s="91">
        <v>160</v>
      </c>
      <c r="O1494" s="91">
        <v>55.6</v>
      </c>
      <c r="P1494" s="122"/>
      <c r="Q1494" s="122"/>
      <c r="R1494" s="147">
        <f t="shared" si="161"/>
        <v>55.6</v>
      </c>
      <c r="S1494" s="2">
        <f t="shared" si="165"/>
        <v>0.37771739130434778</v>
      </c>
    </row>
    <row r="1495" spans="1:19" x14ac:dyDescent="0.25">
      <c r="A1495" s="201"/>
      <c r="B1495" s="182"/>
      <c r="C1495" s="182"/>
      <c r="D1495" s="182"/>
      <c r="E1495" s="191"/>
      <c r="F1495" s="200"/>
      <c r="G1495" s="200"/>
      <c r="H1495" s="172"/>
      <c r="I1495" s="173"/>
      <c r="J1495" s="182"/>
      <c r="K1495" s="182"/>
      <c r="L1495" s="169"/>
      <c r="M1495" s="71" t="s">
        <v>1624</v>
      </c>
      <c r="N1495" s="91">
        <v>400</v>
      </c>
      <c r="O1495" s="91">
        <v>73.8</v>
      </c>
      <c r="P1495" s="122"/>
      <c r="Q1495" s="122">
        <f>69</f>
        <v>69</v>
      </c>
      <c r="R1495" s="147">
        <f t="shared" si="161"/>
        <v>142.80000000000001</v>
      </c>
      <c r="S1495" s="2">
        <f t="shared" si="165"/>
        <v>0.3880434782608696</v>
      </c>
    </row>
    <row r="1496" spans="1:19" x14ac:dyDescent="0.25">
      <c r="A1496" s="201"/>
      <c r="B1496" s="182"/>
      <c r="C1496" s="182"/>
      <c r="D1496" s="182"/>
      <c r="E1496" s="191"/>
      <c r="F1496" s="200"/>
      <c r="G1496" s="200"/>
      <c r="H1496" s="172"/>
      <c r="I1496" s="173"/>
      <c r="J1496" s="182"/>
      <c r="K1496" s="182"/>
      <c r="L1496" s="169"/>
      <c r="M1496" s="71" t="s">
        <v>1625</v>
      </c>
      <c r="N1496" s="91">
        <v>400</v>
      </c>
      <c r="O1496" s="91">
        <v>79.400000000000006</v>
      </c>
      <c r="P1496" s="122"/>
      <c r="Q1496" s="122"/>
      <c r="R1496" s="147">
        <f t="shared" si="161"/>
        <v>79.400000000000006</v>
      </c>
      <c r="S1496" s="2">
        <f t="shared" si="165"/>
        <v>0.21576086956521739</v>
      </c>
    </row>
    <row r="1497" spans="1:19" x14ac:dyDescent="0.25">
      <c r="A1497" s="201"/>
      <c r="B1497" s="182"/>
      <c r="C1497" s="182"/>
      <c r="D1497" s="182"/>
      <c r="E1497" s="191"/>
      <c r="F1497" s="200"/>
      <c r="G1497" s="200"/>
      <c r="H1497" s="172"/>
      <c r="I1497" s="173"/>
      <c r="J1497" s="182"/>
      <c r="K1497" s="182"/>
      <c r="L1497" s="169"/>
      <c r="M1497" s="71" t="s">
        <v>1626</v>
      </c>
      <c r="N1497" s="91">
        <v>400</v>
      </c>
      <c r="O1497" s="91">
        <v>120</v>
      </c>
      <c r="P1497" s="122"/>
      <c r="Q1497" s="122"/>
      <c r="R1497" s="147">
        <f t="shared" si="161"/>
        <v>120</v>
      </c>
      <c r="S1497" s="2">
        <f t="shared" si="165"/>
        <v>0.32608695652173914</v>
      </c>
    </row>
    <row r="1498" spans="1:19" x14ac:dyDescent="0.25">
      <c r="A1498" s="201"/>
      <c r="B1498" s="182"/>
      <c r="C1498" s="182"/>
      <c r="D1498" s="182"/>
      <c r="E1498" s="191"/>
      <c r="F1498" s="200"/>
      <c r="G1498" s="200"/>
      <c r="H1498" s="172"/>
      <c r="I1498" s="173"/>
      <c r="J1498" s="182"/>
      <c r="K1498" s="182"/>
      <c r="L1498" s="169"/>
      <c r="M1498" s="71" t="s">
        <v>1627</v>
      </c>
      <c r="N1498" s="91">
        <v>400</v>
      </c>
      <c r="O1498" s="91">
        <v>85.2</v>
      </c>
      <c r="P1498" s="122"/>
      <c r="Q1498" s="122"/>
      <c r="R1498" s="147">
        <f t="shared" si="161"/>
        <v>85.2</v>
      </c>
      <c r="S1498" s="2">
        <f t="shared" si="165"/>
        <v>0.23152173913043478</v>
      </c>
    </row>
    <row r="1499" spans="1:19" x14ac:dyDescent="0.25">
      <c r="A1499" s="201"/>
      <c r="B1499" s="182"/>
      <c r="C1499" s="182"/>
      <c r="D1499" s="182"/>
      <c r="E1499" s="191"/>
      <c r="F1499" s="200"/>
      <c r="G1499" s="200"/>
      <c r="H1499" s="172"/>
      <c r="I1499" s="173"/>
      <c r="J1499" s="182"/>
      <c r="K1499" s="182"/>
      <c r="L1499" s="169"/>
      <c r="M1499" s="71" t="s">
        <v>1628</v>
      </c>
      <c r="N1499" s="91">
        <v>250</v>
      </c>
      <c r="O1499" s="91">
        <v>92.6</v>
      </c>
      <c r="P1499" s="122"/>
      <c r="Q1499" s="122"/>
      <c r="R1499" s="147">
        <f t="shared" si="161"/>
        <v>92.6</v>
      </c>
      <c r="S1499" s="2">
        <f t="shared" si="165"/>
        <v>0.40260869565217389</v>
      </c>
    </row>
    <row r="1500" spans="1:19" x14ac:dyDescent="0.25">
      <c r="A1500" s="201"/>
      <c r="B1500" s="182"/>
      <c r="C1500" s="182"/>
      <c r="D1500" s="182"/>
      <c r="E1500" s="191"/>
      <c r="F1500" s="200"/>
      <c r="G1500" s="200"/>
      <c r="H1500" s="172"/>
      <c r="I1500" s="173"/>
      <c r="J1500" s="182"/>
      <c r="K1500" s="182"/>
      <c r="L1500" s="169"/>
      <c r="M1500" s="71" t="s">
        <v>1629</v>
      </c>
      <c r="N1500" s="91">
        <v>400</v>
      </c>
      <c r="O1500" s="91">
        <v>153.4</v>
      </c>
      <c r="P1500" s="122"/>
      <c r="Q1500" s="122"/>
      <c r="R1500" s="147">
        <f t="shared" si="161"/>
        <v>153.4</v>
      </c>
      <c r="S1500" s="2">
        <f t="shared" si="165"/>
        <v>0.41684782608695653</v>
      </c>
    </row>
    <row r="1501" spans="1:19" x14ac:dyDescent="0.25">
      <c r="A1501" s="201"/>
      <c r="B1501" s="182"/>
      <c r="C1501" s="182"/>
      <c r="D1501" s="182"/>
      <c r="E1501" s="191"/>
      <c r="F1501" s="200"/>
      <c r="G1501" s="200"/>
      <c r="H1501" s="172"/>
      <c r="I1501" s="173"/>
      <c r="J1501" s="182"/>
      <c r="K1501" s="182"/>
      <c r="L1501" s="169"/>
      <c r="M1501" s="71" t="s">
        <v>1630</v>
      </c>
      <c r="N1501" s="61">
        <v>400</v>
      </c>
      <c r="O1501" s="91">
        <v>12.4</v>
      </c>
      <c r="P1501" s="122"/>
      <c r="Q1501" s="122"/>
      <c r="R1501" s="147">
        <f t="shared" si="161"/>
        <v>12.4</v>
      </c>
      <c r="S1501" s="2">
        <f t="shared" si="165"/>
        <v>3.3695652173913043E-2</v>
      </c>
    </row>
    <row r="1502" spans="1:19" x14ac:dyDescent="0.25">
      <c r="A1502" s="201"/>
      <c r="B1502" s="182"/>
      <c r="C1502" s="182"/>
      <c r="D1502" s="182"/>
      <c r="E1502" s="191"/>
      <c r="F1502" s="200"/>
      <c r="G1502" s="200"/>
      <c r="H1502" s="172"/>
      <c r="I1502" s="173"/>
      <c r="J1502" s="182"/>
      <c r="K1502" s="182"/>
      <c r="L1502" s="169"/>
      <c r="M1502" s="71" t="s">
        <v>1631</v>
      </c>
      <c r="N1502" s="160">
        <v>250</v>
      </c>
      <c r="O1502" s="91">
        <v>59</v>
      </c>
      <c r="P1502" s="122"/>
      <c r="Q1502" s="122"/>
      <c r="R1502" s="147">
        <f t="shared" si="161"/>
        <v>59</v>
      </c>
      <c r="S1502" s="2">
        <f t="shared" si="165"/>
        <v>0.2565217391304348</v>
      </c>
    </row>
    <row r="1503" spans="1:19" x14ac:dyDescent="0.25">
      <c r="A1503" s="201"/>
      <c r="B1503" s="182"/>
      <c r="C1503" s="182"/>
      <c r="D1503" s="182"/>
      <c r="E1503" s="191"/>
      <c r="F1503" s="200"/>
      <c r="G1503" s="200"/>
      <c r="H1503" s="172"/>
      <c r="I1503" s="173"/>
      <c r="J1503" s="182"/>
      <c r="K1503" s="182"/>
      <c r="L1503" s="169"/>
      <c r="M1503" s="71" t="s">
        <v>1632</v>
      </c>
      <c r="N1503" s="91">
        <v>400</v>
      </c>
      <c r="O1503" s="91">
        <v>34</v>
      </c>
      <c r="P1503" s="122"/>
      <c r="Q1503" s="122"/>
      <c r="R1503" s="147">
        <f t="shared" si="161"/>
        <v>34</v>
      </c>
      <c r="S1503" s="2">
        <f t="shared" si="165"/>
        <v>9.2391304347826081E-2</v>
      </c>
    </row>
    <row r="1504" spans="1:19" x14ac:dyDescent="0.25">
      <c r="A1504" s="201"/>
      <c r="B1504" s="182"/>
      <c r="C1504" s="182"/>
      <c r="D1504" s="182"/>
      <c r="E1504" s="191"/>
      <c r="F1504" s="193" t="s">
        <v>1633</v>
      </c>
      <c r="G1504" s="194"/>
      <c r="H1504" s="172"/>
      <c r="I1504" s="173"/>
      <c r="J1504" s="182"/>
      <c r="K1504" s="182"/>
      <c r="L1504" s="169"/>
      <c r="M1504" s="71" t="s">
        <v>1634</v>
      </c>
      <c r="N1504" s="91">
        <v>250</v>
      </c>
      <c r="O1504" s="91">
        <v>82</v>
      </c>
      <c r="P1504" s="122"/>
      <c r="Q1504" s="122"/>
      <c r="R1504" s="147">
        <f t="shared" si="161"/>
        <v>82</v>
      </c>
      <c r="S1504" s="2">
        <f t="shared" si="165"/>
        <v>0.35652173913043478</v>
      </c>
    </row>
    <row r="1505" spans="1:19" x14ac:dyDescent="0.25">
      <c r="A1505" s="201"/>
      <c r="B1505" s="182"/>
      <c r="C1505" s="182"/>
      <c r="D1505" s="182"/>
      <c r="E1505" s="191"/>
      <c r="F1505" s="195"/>
      <c r="G1505" s="196"/>
      <c r="H1505" s="172"/>
      <c r="I1505" s="173"/>
      <c r="J1505" s="182"/>
      <c r="K1505" s="182"/>
      <c r="L1505" s="169"/>
      <c r="M1505" s="71" t="s">
        <v>1635</v>
      </c>
      <c r="N1505" s="91">
        <v>160</v>
      </c>
      <c r="O1505" s="91">
        <v>106.2</v>
      </c>
      <c r="P1505" s="122"/>
      <c r="Q1505" s="122"/>
      <c r="R1505" s="147">
        <f t="shared" si="161"/>
        <v>106.2</v>
      </c>
      <c r="S1505" s="2">
        <f t="shared" si="165"/>
        <v>0.72146739130434778</v>
      </c>
    </row>
    <row r="1506" spans="1:19" x14ac:dyDescent="0.25">
      <c r="A1506" s="202"/>
      <c r="B1506" s="182"/>
      <c r="C1506" s="182"/>
      <c r="D1506" s="182"/>
      <c r="E1506" s="191"/>
      <c r="F1506" s="197"/>
      <c r="G1506" s="198"/>
      <c r="H1506" s="172"/>
      <c r="I1506" s="173"/>
      <c r="J1506" s="182"/>
      <c r="K1506" s="183"/>
      <c r="L1506" s="169"/>
      <c r="M1506" s="71" t="s">
        <v>1636</v>
      </c>
      <c r="N1506" s="91">
        <v>160</v>
      </c>
      <c r="O1506" s="91">
        <v>17.600000000000001</v>
      </c>
      <c r="P1506" s="122"/>
      <c r="Q1506" s="122"/>
      <c r="R1506" s="147">
        <f t="shared" si="161"/>
        <v>17.600000000000001</v>
      </c>
      <c r="S1506" s="2">
        <f t="shared" si="165"/>
        <v>0.11956521739130434</v>
      </c>
    </row>
    <row r="1507" spans="1:19" x14ac:dyDescent="0.25">
      <c r="A1507" s="203">
        <f>A1493+1</f>
        <v>7</v>
      </c>
      <c r="B1507" s="182"/>
      <c r="C1507" s="182"/>
      <c r="D1507" s="182"/>
      <c r="E1507" s="191"/>
      <c r="F1507" s="170" t="s">
        <v>1637</v>
      </c>
      <c r="G1507" s="171"/>
      <c r="H1507" s="172"/>
      <c r="I1507" s="173"/>
      <c r="J1507" s="182"/>
      <c r="K1507" s="181"/>
      <c r="L1507" s="169">
        <f>1328/1000</f>
        <v>1.3280000000000001</v>
      </c>
      <c r="M1507" s="71" t="s">
        <v>1638</v>
      </c>
      <c r="N1507" s="91">
        <v>400</v>
      </c>
      <c r="O1507" s="91">
        <v>198.4</v>
      </c>
      <c r="P1507" s="122"/>
      <c r="Q1507" s="122"/>
      <c r="R1507" s="147">
        <f t="shared" si="161"/>
        <v>198.4</v>
      </c>
      <c r="S1507" s="2">
        <f t="shared" si="165"/>
        <v>0.53913043478260869</v>
      </c>
    </row>
    <row r="1508" spans="1:19" x14ac:dyDescent="0.25">
      <c r="A1508" s="201"/>
      <c r="B1508" s="182"/>
      <c r="C1508" s="182"/>
      <c r="D1508" s="182"/>
      <c r="E1508" s="191"/>
      <c r="F1508" s="172"/>
      <c r="G1508" s="173"/>
      <c r="H1508" s="172"/>
      <c r="I1508" s="173"/>
      <c r="J1508" s="182"/>
      <c r="K1508" s="182"/>
      <c r="L1508" s="169"/>
      <c r="M1508" s="71" t="s">
        <v>1639</v>
      </c>
      <c r="N1508" s="91">
        <v>400</v>
      </c>
      <c r="O1508" s="91">
        <v>19.8</v>
      </c>
      <c r="P1508" s="122"/>
      <c r="Q1508" s="122"/>
      <c r="R1508" s="147">
        <f t="shared" si="161"/>
        <v>19.8</v>
      </c>
      <c r="S1508" s="2">
        <f t="shared" si="165"/>
        <v>5.3804347826086958E-2</v>
      </c>
    </row>
    <row r="1509" spans="1:19" x14ac:dyDescent="0.25">
      <c r="A1509" s="201"/>
      <c r="B1509" s="182"/>
      <c r="C1509" s="182"/>
      <c r="D1509" s="182"/>
      <c r="E1509" s="191"/>
      <c r="F1509" s="172"/>
      <c r="G1509" s="173"/>
      <c r="H1509" s="172"/>
      <c r="I1509" s="173"/>
      <c r="J1509" s="182"/>
      <c r="K1509" s="182"/>
      <c r="L1509" s="169"/>
      <c r="M1509" s="71" t="s">
        <v>1640</v>
      </c>
      <c r="N1509" s="91">
        <v>400</v>
      </c>
      <c r="O1509" s="91">
        <v>174.8</v>
      </c>
      <c r="P1509" s="122"/>
      <c r="Q1509" s="122">
        <f>15</f>
        <v>15</v>
      </c>
      <c r="R1509" s="147">
        <f t="shared" ref="R1509:R1572" si="166">O1509+P1509+Q1509</f>
        <v>189.8</v>
      </c>
      <c r="S1509" s="2">
        <f t="shared" si="165"/>
        <v>0.51576086956521738</v>
      </c>
    </row>
    <row r="1510" spans="1:19" x14ac:dyDescent="0.25">
      <c r="A1510" s="201"/>
      <c r="B1510" s="182"/>
      <c r="C1510" s="182"/>
      <c r="D1510" s="182"/>
      <c r="E1510" s="191"/>
      <c r="F1510" s="172"/>
      <c r="G1510" s="173"/>
      <c r="H1510" s="172"/>
      <c r="I1510" s="173"/>
      <c r="J1510" s="182"/>
      <c r="K1510" s="182"/>
      <c r="L1510" s="169"/>
      <c r="M1510" s="71" t="s">
        <v>1641</v>
      </c>
      <c r="N1510" s="91">
        <v>250</v>
      </c>
      <c r="O1510" s="91">
        <v>33.799999999999997</v>
      </c>
      <c r="P1510" s="122"/>
      <c r="Q1510" s="122"/>
      <c r="R1510" s="147">
        <f t="shared" si="166"/>
        <v>33.799999999999997</v>
      </c>
      <c r="S1510" s="2">
        <f t="shared" si="165"/>
        <v>0.14695652173913043</v>
      </c>
    </row>
    <row r="1511" spans="1:19" x14ac:dyDescent="0.25">
      <c r="A1511" s="201"/>
      <c r="B1511" s="182"/>
      <c r="C1511" s="182"/>
      <c r="D1511" s="182"/>
      <c r="E1511" s="191"/>
      <c r="F1511" s="172"/>
      <c r="G1511" s="173"/>
      <c r="H1511" s="172"/>
      <c r="I1511" s="173"/>
      <c r="J1511" s="182"/>
      <c r="K1511" s="182"/>
      <c r="L1511" s="169"/>
      <c r="M1511" s="71" t="s">
        <v>1642</v>
      </c>
      <c r="N1511" s="91">
        <v>400</v>
      </c>
      <c r="O1511" s="91">
        <v>74.400000000000006</v>
      </c>
      <c r="P1511" s="122"/>
      <c r="Q1511" s="122"/>
      <c r="R1511" s="147">
        <f t="shared" si="166"/>
        <v>74.400000000000006</v>
      </c>
      <c r="S1511" s="2">
        <f t="shared" si="165"/>
        <v>0.20217391304347829</v>
      </c>
    </row>
    <row r="1512" spans="1:19" x14ac:dyDescent="0.25">
      <c r="A1512" s="201"/>
      <c r="B1512" s="182"/>
      <c r="C1512" s="182"/>
      <c r="D1512" s="182"/>
      <c r="E1512" s="191"/>
      <c r="F1512" s="172"/>
      <c r="G1512" s="173"/>
      <c r="H1512" s="172"/>
      <c r="I1512" s="173"/>
      <c r="J1512" s="182"/>
      <c r="K1512" s="182"/>
      <c r="L1512" s="169"/>
      <c r="M1512" s="71" t="s">
        <v>1643</v>
      </c>
      <c r="N1512" s="91">
        <v>400</v>
      </c>
      <c r="O1512" s="91">
        <v>69.400000000000006</v>
      </c>
      <c r="P1512" s="122"/>
      <c r="Q1512" s="122"/>
      <c r="R1512" s="147">
        <f t="shared" si="166"/>
        <v>69.400000000000006</v>
      </c>
      <c r="S1512" s="2">
        <f t="shared" si="165"/>
        <v>0.18858695652173915</v>
      </c>
    </row>
    <row r="1513" spans="1:19" x14ac:dyDescent="0.25">
      <c r="A1513" s="201"/>
      <c r="B1513" s="182"/>
      <c r="C1513" s="182"/>
      <c r="D1513" s="182"/>
      <c r="E1513" s="191"/>
      <c r="F1513" s="172"/>
      <c r="G1513" s="173"/>
      <c r="H1513" s="172"/>
      <c r="I1513" s="173"/>
      <c r="J1513" s="182"/>
      <c r="K1513" s="182"/>
      <c r="L1513" s="169"/>
      <c r="M1513" s="71" t="s">
        <v>1644</v>
      </c>
      <c r="N1513" s="91">
        <v>400</v>
      </c>
      <c r="O1513" s="57">
        <v>168</v>
      </c>
      <c r="P1513" s="124"/>
      <c r="Q1513" s="124"/>
      <c r="R1513" s="147">
        <f t="shared" si="166"/>
        <v>168</v>
      </c>
      <c r="S1513" s="2">
        <f t="shared" si="165"/>
        <v>0.45652173913043476</v>
      </c>
    </row>
    <row r="1514" spans="1:19" x14ac:dyDescent="0.25">
      <c r="A1514" s="201"/>
      <c r="B1514" s="182"/>
      <c r="C1514" s="182"/>
      <c r="D1514" s="182"/>
      <c r="E1514" s="191"/>
      <c r="F1514" s="172"/>
      <c r="G1514" s="173"/>
      <c r="H1514" s="172"/>
      <c r="I1514" s="173"/>
      <c r="J1514" s="182"/>
      <c r="K1514" s="182"/>
      <c r="L1514" s="169"/>
      <c r="M1514" s="71" t="s">
        <v>1645</v>
      </c>
      <c r="N1514" s="91">
        <v>630</v>
      </c>
      <c r="O1514" s="91">
        <v>5</v>
      </c>
      <c r="P1514" s="122"/>
      <c r="Q1514" s="122"/>
      <c r="R1514" s="147">
        <f t="shared" si="166"/>
        <v>5</v>
      </c>
      <c r="S1514" s="2">
        <f t="shared" si="165"/>
        <v>8.62663906142167E-3</v>
      </c>
    </row>
    <row r="1515" spans="1:19" x14ac:dyDescent="0.25">
      <c r="A1515" s="201"/>
      <c r="B1515" s="182"/>
      <c r="C1515" s="182"/>
      <c r="D1515" s="182"/>
      <c r="E1515" s="191"/>
      <c r="F1515" s="172"/>
      <c r="G1515" s="173"/>
      <c r="H1515" s="172"/>
      <c r="I1515" s="173"/>
      <c r="J1515" s="182"/>
      <c r="K1515" s="182"/>
      <c r="L1515" s="169"/>
      <c r="M1515" s="71" t="s">
        <v>1646</v>
      </c>
      <c r="N1515" s="91">
        <v>250</v>
      </c>
      <c r="O1515" s="91">
        <v>73.599999999999994</v>
      </c>
      <c r="P1515" s="122"/>
      <c r="Q1515" s="122"/>
      <c r="R1515" s="147">
        <f t="shared" si="166"/>
        <v>73.599999999999994</v>
      </c>
      <c r="S1515" s="2">
        <f t="shared" si="165"/>
        <v>0.31999999999999995</v>
      </c>
    </row>
    <row r="1516" spans="1:19" x14ac:dyDescent="0.25">
      <c r="A1516" s="201"/>
      <c r="B1516" s="182"/>
      <c r="C1516" s="182"/>
      <c r="D1516" s="182"/>
      <c r="E1516" s="191"/>
      <c r="F1516" s="172"/>
      <c r="G1516" s="173"/>
      <c r="H1516" s="172"/>
      <c r="I1516" s="173"/>
      <c r="J1516" s="182"/>
      <c r="K1516" s="182"/>
      <c r="L1516" s="169"/>
      <c r="M1516" s="71" t="s">
        <v>1630</v>
      </c>
      <c r="N1516" s="61">
        <v>400</v>
      </c>
      <c r="O1516" s="91">
        <v>14.6</v>
      </c>
      <c r="P1516" s="122"/>
      <c r="Q1516" s="122"/>
      <c r="R1516" s="147">
        <f t="shared" si="166"/>
        <v>14.6</v>
      </c>
      <c r="S1516" s="2">
        <f t="shared" si="165"/>
        <v>3.9673913043478261E-2</v>
      </c>
    </row>
    <row r="1517" spans="1:19" x14ac:dyDescent="0.25">
      <c r="A1517" s="201"/>
      <c r="B1517" s="182"/>
      <c r="C1517" s="182"/>
      <c r="D1517" s="182"/>
      <c r="E1517" s="191"/>
      <c r="F1517" s="172"/>
      <c r="G1517" s="173"/>
      <c r="H1517" s="172"/>
      <c r="I1517" s="173"/>
      <c r="J1517" s="182"/>
      <c r="K1517" s="182"/>
      <c r="L1517" s="169"/>
      <c r="M1517" s="71" t="s">
        <v>1647</v>
      </c>
      <c r="N1517" s="91">
        <v>160</v>
      </c>
      <c r="O1517" s="91">
        <v>181.8</v>
      </c>
      <c r="P1517" s="122"/>
      <c r="Q1517" s="122"/>
      <c r="R1517" s="147">
        <f t="shared" si="166"/>
        <v>181.8</v>
      </c>
      <c r="S1517" s="2">
        <f t="shared" si="165"/>
        <v>1.2350543478260869</v>
      </c>
    </row>
    <row r="1518" spans="1:19" x14ac:dyDescent="0.25">
      <c r="A1518" s="201"/>
      <c r="B1518" s="182"/>
      <c r="C1518" s="182"/>
      <c r="D1518" s="182"/>
      <c r="E1518" s="191"/>
      <c r="F1518" s="172"/>
      <c r="G1518" s="173"/>
      <c r="H1518" s="172"/>
      <c r="I1518" s="173"/>
      <c r="J1518" s="182"/>
      <c r="K1518" s="182"/>
      <c r="L1518" s="169"/>
      <c r="M1518" s="71" t="s">
        <v>1648</v>
      </c>
      <c r="N1518" s="91">
        <v>250</v>
      </c>
      <c r="O1518" s="91">
        <v>160.19999999999999</v>
      </c>
      <c r="P1518" s="122"/>
      <c r="Q1518" s="122"/>
      <c r="R1518" s="147">
        <f t="shared" si="166"/>
        <v>160.19999999999999</v>
      </c>
      <c r="S1518" s="2">
        <f t="shared" si="165"/>
        <v>0.69652173913043469</v>
      </c>
    </row>
    <row r="1519" spans="1:19" x14ac:dyDescent="0.25">
      <c r="A1519" s="201"/>
      <c r="B1519" s="182"/>
      <c r="C1519" s="182"/>
      <c r="D1519" s="182"/>
      <c r="E1519" s="191"/>
      <c r="F1519" s="172"/>
      <c r="G1519" s="173"/>
      <c r="H1519" s="172"/>
      <c r="I1519" s="173"/>
      <c r="J1519" s="182"/>
      <c r="K1519" s="182"/>
      <c r="L1519" s="169"/>
      <c r="M1519" s="71" t="s">
        <v>1649</v>
      </c>
      <c r="N1519" s="91">
        <v>400</v>
      </c>
      <c r="O1519" s="91">
        <v>159.80000000000001</v>
      </c>
      <c r="P1519" s="122"/>
      <c r="Q1519" s="122"/>
      <c r="R1519" s="147">
        <f t="shared" si="166"/>
        <v>159.80000000000001</v>
      </c>
      <c r="S1519" s="2">
        <f t="shared" si="165"/>
        <v>0.43423913043478263</v>
      </c>
    </row>
    <row r="1520" spans="1:19" x14ac:dyDescent="0.25">
      <c r="A1520" s="201"/>
      <c r="B1520" s="182"/>
      <c r="C1520" s="182"/>
      <c r="D1520" s="182"/>
      <c r="E1520" s="191"/>
      <c r="F1520" s="172"/>
      <c r="G1520" s="173"/>
      <c r="H1520" s="172"/>
      <c r="I1520" s="173"/>
      <c r="J1520" s="182"/>
      <c r="K1520" s="182"/>
      <c r="L1520" s="169"/>
      <c r="M1520" s="71" t="s">
        <v>1650</v>
      </c>
      <c r="N1520" s="91">
        <v>400</v>
      </c>
      <c r="O1520" s="91">
        <v>73.2</v>
      </c>
      <c r="P1520" s="122"/>
      <c r="Q1520" s="122"/>
      <c r="R1520" s="147">
        <f t="shared" si="166"/>
        <v>73.2</v>
      </c>
      <c r="S1520" s="2">
        <f t="shared" si="165"/>
        <v>0.19891304347826089</v>
      </c>
    </row>
    <row r="1521" spans="1:19" x14ac:dyDescent="0.25">
      <c r="A1521" s="201"/>
      <c r="B1521" s="182"/>
      <c r="C1521" s="182"/>
      <c r="D1521" s="182"/>
      <c r="E1521" s="191"/>
      <c r="F1521" s="172"/>
      <c r="G1521" s="173"/>
      <c r="H1521" s="172"/>
      <c r="I1521" s="173"/>
      <c r="J1521" s="182"/>
      <c r="K1521" s="182"/>
      <c r="L1521" s="169"/>
      <c r="M1521" s="71" t="s">
        <v>1651</v>
      </c>
      <c r="N1521" s="91">
        <v>400</v>
      </c>
      <c r="O1521" s="91">
        <v>35.6</v>
      </c>
      <c r="P1521" s="122"/>
      <c r="Q1521" s="122"/>
      <c r="R1521" s="147">
        <f t="shared" si="166"/>
        <v>35.6</v>
      </c>
      <c r="S1521" s="2">
        <f t="shared" si="165"/>
        <v>9.6739130434782619E-2</v>
      </c>
    </row>
    <row r="1522" spans="1:19" x14ac:dyDescent="0.25">
      <c r="A1522" s="201"/>
      <c r="B1522" s="182"/>
      <c r="C1522" s="182"/>
      <c r="D1522" s="182"/>
      <c r="E1522" s="191"/>
      <c r="F1522" s="172"/>
      <c r="G1522" s="173"/>
      <c r="H1522" s="172"/>
      <c r="I1522" s="173"/>
      <c r="J1522" s="182"/>
      <c r="K1522" s="182"/>
      <c r="L1522" s="169"/>
      <c r="M1522" s="71" t="s">
        <v>1652</v>
      </c>
      <c r="N1522" s="160">
        <v>250</v>
      </c>
      <c r="O1522" s="91">
        <v>17</v>
      </c>
      <c r="P1522" s="122"/>
      <c r="Q1522" s="122"/>
      <c r="R1522" s="147">
        <f t="shared" si="166"/>
        <v>17</v>
      </c>
      <c r="S1522" s="2">
        <f t="shared" si="165"/>
        <v>7.3913043478260873E-2</v>
      </c>
    </row>
    <row r="1523" spans="1:19" x14ac:dyDescent="0.25">
      <c r="A1523" s="201"/>
      <c r="B1523" s="182"/>
      <c r="C1523" s="182"/>
      <c r="D1523" s="182"/>
      <c r="E1523" s="191"/>
      <c r="F1523" s="172"/>
      <c r="G1523" s="173"/>
      <c r="H1523" s="172"/>
      <c r="I1523" s="173"/>
      <c r="J1523" s="182"/>
      <c r="K1523" s="182"/>
      <c r="L1523" s="169"/>
      <c r="M1523" s="71" t="s">
        <v>1631</v>
      </c>
      <c r="N1523" s="160">
        <v>250</v>
      </c>
      <c r="O1523" s="91">
        <v>64</v>
      </c>
      <c r="P1523" s="122"/>
      <c r="Q1523" s="122"/>
      <c r="R1523" s="147">
        <f t="shared" si="166"/>
        <v>64</v>
      </c>
      <c r="S1523" s="2">
        <f t="shared" si="165"/>
        <v>0.27826086956521739</v>
      </c>
    </row>
    <row r="1524" spans="1:19" x14ac:dyDescent="0.25">
      <c r="A1524" s="201"/>
      <c r="B1524" s="182"/>
      <c r="C1524" s="182"/>
      <c r="D1524" s="182"/>
      <c r="E1524" s="191"/>
      <c r="F1524" s="172"/>
      <c r="G1524" s="173"/>
      <c r="H1524" s="172"/>
      <c r="I1524" s="173"/>
      <c r="J1524" s="182"/>
      <c r="K1524" s="182"/>
      <c r="L1524" s="169"/>
      <c r="M1524" s="71" t="s">
        <v>1653</v>
      </c>
      <c r="N1524" s="91">
        <v>250</v>
      </c>
      <c r="O1524" s="91">
        <v>140.4</v>
      </c>
      <c r="P1524" s="122"/>
      <c r="Q1524" s="122">
        <f>15</f>
        <v>15</v>
      </c>
      <c r="R1524" s="147">
        <f t="shared" si="166"/>
        <v>155.4</v>
      </c>
      <c r="S1524" s="2">
        <f t="shared" si="165"/>
        <v>0.67565217391304355</v>
      </c>
    </row>
    <row r="1525" spans="1:19" hidden="1" x14ac:dyDescent="0.25">
      <c r="A1525" s="201"/>
      <c r="B1525" s="182"/>
      <c r="C1525" s="182"/>
      <c r="D1525" s="182"/>
      <c r="E1525" s="191"/>
      <c r="F1525" s="174"/>
      <c r="G1525" s="175"/>
      <c r="H1525" s="172"/>
      <c r="I1525" s="173"/>
      <c r="J1525" s="182"/>
      <c r="K1525" s="182"/>
      <c r="L1525" s="169"/>
      <c r="M1525" s="71" t="s">
        <v>1654</v>
      </c>
      <c r="N1525" s="91">
        <v>100</v>
      </c>
      <c r="O1525" s="94" t="s">
        <v>1348</v>
      </c>
      <c r="P1525" s="136"/>
      <c r="Q1525" s="136"/>
      <c r="R1525" s="147">
        <f t="shared" si="166"/>
        <v>0</v>
      </c>
      <c r="S1525" s="59"/>
    </row>
    <row r="1526" spans="1:19" x14ac:dyDescent="0.25">
      <c r="A1526" s="201"/>
      <c r="B1526" s="182"/>
      <c r="C1526" s="182"/>
      <c r="D1526" s="182"/>
      <c r="E1526" s="191"/>
      <c r="F1526" s="172" t="s">
        <v>1655</v>
      </c>
      <c r="G1526" s="173"/>
      <c r="H1526" s="172"/>
      <c r="I1526" s="173"/>
      <c r="J1526" s="182"/>
      <c r="K1526" s="182"/>
      <c r="L1526" s="169"/>
      <c r="M1526" s="71" t="s">
        <v>1656</v>
      </c>
      <c r="N1526" s="91">
        <v>63</v>
      </c>
      <c r="O1526" s="72" t="s">
        <v>2139</v>
      </c>
      <c r="P1526" s="135"/>
      <c r="Q1526" s="135"/>
      <c r="R1526" s="147">
        <f t="shared" si="166"/>
        <v>20</v>
      </c>
      <c r="S1526" s="2">
        <f t="shared" ref="S1526:S1533" si="167">R1526/(N1526*0.92)</f>
        <v>0.34506556245686681</v>
      </c>
    </row>
    <row r="1527" spans="1:19" x14ac:dyDescent="0.25">
      <c r="A1527" s="201"/>
      <c r="B1527" s="182"/>
      <c r="C1527" s="182"/>
      <c r="D1527" s="182"/>
      <c r="E1527" s="191"/>
      <c r="F1527" s="172"/>
      <c r="G1527" s="173"/>
      <c r="H1527" s="172"/>
      <c r="I1527" s="173"/>
      <c r="J1527" s="182"/>
      <c r="K1527" s="182"/>
      <c r="L1527" s="169"/>
      <c r="M1527" s="71" t="s">
        <v>1657</v>
      </c>
      <c r="N1527" s="91">
        <v>63</v>
      </c>
      <c r="O1527" s="72" t="s">
        <v>2140</v>
      </c>
      <c r="P1527" s="135"/>
      <c r="Q1527" s="135"/>
      <c r="R1527" s="147">
        <f t="shared" si="166"/>
        <v>22</v>
      </c>
      <c r="S1527" s="2">
        <f t="shared" si="167"/>
        <v>0.37957211870255347</v>
      </c>
    </row>
    <row r="1528" spans="1:19" x14ac:dyDescent="0.25">
      <c r="A1528" s="202"/>
      <c r="B1528" s="183"/>
      <c r="C1528" s="183"/>
      <c r="D1528" s="183"/>
      <c r="E1528" s="192"/>
      <c r="F1528" s="174"/>
      <c r="G1528" s="175"/>
      <c r="H1528" s="174"/>
      <c r="I1528" s="175"/>
      <c r="J1528" s="183"/>
      <c r="K1528" s="183"/>
      <c r="L1528" s="169"/>
      <c r="M1528" s="71" t="s">
        <v>1658</v>
      </c>
      <c r="N1528" s="91">
        <v>63</v>
      </c>
      <c r="O1528" s="72" t="s">
        <v>2141</v>
      </c>
      <c r="P1528" s="135"/>
      <c r="Q1528" s="135"/>
      <c r="R1528" s="147">
        <f t="shared" si="166"/>
        <v>16</v>
      </c>
      <c r="S1528" s="2">
        <f t="shared" si="167"/>
        <v>0.27605244996549344</v>
      </c>
    </row>
    <row r="1529" spans="1:19" x14ac:dyDescent="0.25">
      <c r="A1529" s="201">
        <f>A1507+1</f>
        <v>8</v>
      </c>
      <c r="B1529" s="182" t="s">
        <v>1590</v>
      </c>
      <c r="C1529" s="182" t="s">
        <v>1659</v>
      </c>
      <c r="D1529" s="182"/>
      <c r="E1529" s="191" t="s">
        <v>61</v>
      </c>
      <c r="F1529" s="172" t="s">
        <v>1660</v>
      </c>
      <c r="G1529" s="173"/>
      <c r="H1529" s="193" t="s">
        <v>1661</v>
      </c>
      <c r="I1529" s="194"/>
      <c r="J1529" s="169"/>
      <c r="K1529" s="181"/>
      <c r="L1529" s="169">
        <f>103/1000</f>
        <v>0.10299999999999999</v>
      </c>
      <c r="M1529" s="65" t="s">
        <v>1662</v>
      </c>
      <c r="N1529" s="47">
        <v>250</v>
      </c>
      <c r="O1529" s="47">
        <v>45.6</v>
      </c>
      <c r="P1529" s="125"/>
      <c r="Q1529" s="125">
        <f>10</f>
        <v>10</v>
      </c>
      <c r="R1529" s="147">
        <f t="shared" si="166"/>
        <v>55.6</v>
      </c>
      <c r="S1529" s="2">
        <f t="shared" si="167"/>
        <v>0.24173913043478262</v>
      </c>
    </row>
    <row r="1530" spans="1:19" x14ac:dyDescent="0.25">
      <c r="A1530" s="201"/>
      <c r="B1530" s="182"/>
      <c r="C1530" s="182"/>
      <c r="D1530" s="182"/>
      <c r="E1530" s="191"/>
      <c r="F1530" s="172"/>
      <c r="G1530" s="173"/>
      <c r="H1530" s="195"/>
      <c r="I1530" s="196"/>
      <c r="J1530" s="169"/>
      <c r="K1530" s="182"/>
      <c r="L1530" s="169"/>
      <c r="M1530" s="71" t="s">
        <v>1663</v>
      </c>
      <c r="N1530" s="91">
        <v>250</v>
      </c>
      <c r="O1530" s="91">
        <v>128.80000000000001</v>
      </c>
      <c r="P1530" s="122"/>
      <c r="Q1530" s="122"/>
      <c r="R1530" s="147">
        <f t="shared" si="166"/>
        <v>128.80000000000001</v>
      </c>
      <c r="S1530" s="2">
        <f t="shared" si="167"/>
        <v>0.56000000000000005</v>
      </c>
    </row>
    <row r="1531" spans="1:19" x14ac:dyDescent="0.25">
      <c r="A1531" s="201"/>
      <c r="B1531" s="182"/>
      <c r="C1531" s="182"/>
      <c r="D1531" s="182"/>
      <c r="E1531" s="191"/>
      <c r="F1531" s="172"/>
      <c r="G1531" s="173"/>
      <c r="H1531" s="195"/>
      <c r="I1531" s="196"/>
      <c r="J1531" s="169"/>
      <c r="K1531" s="183"/>
      <c r="L1531" s="169"/>
      <c r="M1531" s="71" t="s">
        <v>1664</v>
      </c>
      <c r="N1531" s="91">
        <v>400</v>
      </c>
      <c r="O1531" s="91">
        <v>8.8000000000000007</v>
      </c>
      <c r="P1531" s="122"/>
      <c r="Q1531" s="122"/>
      <c r="R1531" s="147">
        <f t="shared" si="166"/>
        <v>8.8000000000000007</v>
      </c>
      <c r="S1531" s="2">
        <f t="shared" si="167"/>
        <v>2.391304347826087E-2</v>
      </c>
    </row>
    <row r="1532" spans="1:19" x14ac:dyDescent="0.25">
      <c r="A1532" s="201"/>
      <c r="B1532" s="182"/>
      <c r="C1532" s="182"/>
      <c r="D1532" s="182"/>
      <c r="E1532" s="191"/>
      <c r="F1532" s="169" t="s">
        <v>1665</v>
      </c>
      <c r="G1532" s="169"/>
      <c r="H1532" s="195"/>
      <c r="I1532" s="196"/>
      <c r="J1532" s="181"/>
      <c r="K1532" s="181"/>
      <c r="L1532" s="169">
        <f>581/1000</f>
        <v>0.58099999999999996</v>
      </c>
      <c r="M1532" s="71" t="s">
        <v>1666</v>
      </c>
      <c r="N1532" s="73">
        <v>100</v>
      </c>
      <c r="O1532" s="91">
        <v>0.8</v>
      </c>
      <c r="P1532" s="122"/>
      <c r="Q1532" s="122">
        <f>15</f>
        <v>15</v>
      </c>
      <c r="R1532" s="147">
        <f t="shared" si="166"/>
        <v>15.8</v>
      </c>
      <c r="S1532" s="2">
        <f t="shared" si="167"/>
        <v>0.17173913043478262</v>
      </c>
    </row>
    <row r="1533" spans="1:19" x14ac:dyDescent="0.25">
      <c r="A1533" s="201"/>
      <c r="B1533" s="182"/>
      <c r="C1533" s="182"/>
      <c r="D1533" s="182"/>
      <c r="E1533" s="191"/>
      <c r="F1533" s="169"/>
      <c r="G1533" s="169"/>
      <c r="H1533" s="195"/>
      <c r="I1533" s="196"/>
      <c r="J1533" s="182"/>
      <c r="K1533" s="182"/>
      <c r="L1533" s="169"/>
      <c r="M1533" s="71" t="s">
        <v>1667</v>
      </c>
      <c r="N1533" s="73">
        <v>250</v>
      </c>
      <c r="O1533" s="91">
        <v>100.4</v>
      </c>
      <c r="P1533" s="122"/>
      <c r="Q1533" s="122"/>
      <c r="R1533" s="147">
        <f t="shared" si="166"/>
        <v>100.4</v>
      </c>
      <c r="S1533" s="2">
        <f t="shared" si="167"/>
        <v>0.43652173913043479</v>
      </c>
    </row>
    <row r="1534" spans="1:19" hidden="1" x14ac:dyDescent="0.25">
      <c r="A1534" s="201"/>
      <c r="B1534" s="182"/>
      <c r="C1534" s="182"/>
      <c r="D1534" s="182"/>
      <c r="E1534" s="191"/>
      <c r="F1534" s="169"/>
      <c r="G1534" s="169"/>
      <c r="H1534" s="195"/>
      <c r="I1534" s="196"/>
      <c r="J1534" s="182"/>
      <c r="K1534" s="182"/>
      <c r="L1534" s="169"/>
      <c r="M1534" s="71" t="s">
        <v>1668</v>
      </c>
      <c r="N1534" s="73">
        <v>160</v>
      </c>
      <c r="O1534" s="94" t="s">
        <v>1348</v>
      </c>
      <c r="P1534" s="136"/>
      <c r="Q1534" s="136"/>
      <c r="R1534" s="147">
        <f t="shared" si="166"/>
        <v>0</v>
      </c>
      <c r="S1534" s="108">
        <f>120.2/N1534/0.92</f>
        <v>0.81657608695652173</v>
      </c>
    </row>
    <row r="1535" spans="1:19" x14ac:dyDescent="0.25">
      <c r="A1535" s="201"/>
      <c r="B1535" s="182"/>
      <c r="C1535" s="182"/>
      <c r="D1535" s="182"/>
      <c r="E1535" s="191"/>
      <c r="F1535" s="169"/>
      <c r="G1535" s="169"/>
      <c r="H1535" s="195"/>
      <c r="I1535" s="196"/>
      <c r="J1535" s="182"/>
      <c r="K1535" s="182"/>
      <c r="L1535" s="169"/>
      <c r="M1535" s="71" t="s">
        <v>1669</v>
      </c>
      <c r="N1535" s="73">
        <v>400</v>
      </c>
      <c r="O1535" s="91">
        <v>10.199999999999999</v>
      </c>
      <c r="P1535" s="122"/>
      <c r="Q1535" s="122"/>
      <c r="R1535" s="147">
        <f t="shared" si="166"/>
        <v>10.199999999999999</v>
      </c>
      <c r="S1535" s="2">
        <f t="shared" ref="S1535:S1539" si="168">R1535/(N1535*0.92)</f>
        <v>2.7717391304347826E-2</v>
      </c>
    </row>
    <row r="1536" spans="1:19" x14ac:dyDescent="0.25">
      <c r="A1536" s="201"/>
      <c r="B1536" s="182"/>
      <c r="C1536" s="182"/>
      <c r="D1536" s="182"/>
      <c r="E1536" s="191"/>
      <c r="F1536" s="169"/>
      <c r="G1536" s="169"/>
      <c r="H1536" s="195"/>
      <c r="I1536" s="196"/>
      <c r="J1536" s="182"/>
      <c r="K1536" s="182"/>
      <c r="L1536" s="169"/>
      <c r="M1536" s="71" t="s">
        <v>1670</v>
      </c>
      <c r="N1536" s="73">
        <v>400</v>
      </c>
      <c r="O1536" s="91">
        <v>46.4</v>
      </c>
      <c r="P1536" s="122"/>
      <c r="Q1536" s="122"/>
      <c r="R1536" s="147">
        <f t="shared" si="166"/>
        <v>46.4</v>
      </c>
      <c r="S1536" s="2">
        <f t="shared" si="168"/>
        <v>0.12608695652173912</v>
      </c>
    </row>
    <row r="1537" spans="1:19" x14ac:dyDescent="0.25">
      <c r="A1537" s="201"/>
      <c r="B1537" s="182"/>
      <c r="C1537" s="182"/>
      <c r="D1537" s="182"/>
      <c r="E1537" s="191"/>
      <c r="F1537" s="169"/>
      <c r="G1537" s="169"/>
      <c r="H1537" s="195"/>
      <c r="I1537" s="196"/>
      <c r="J1537" s="182"/>
      <c r="K1537" s="182"/>
      <c r="L1537" s="169"/>
      <c r="M1537" s="71" t="s">
        <v>1671</v>
      </c>
      <c r="N1537" s="73">
        <v>400</v>
      </c>
      <c r="O1537" s="91">
        <v>107.6</v>
      </c>
      <c r="P1537" s="122"/>
      <c r="Q1537" s="122"/>
      <c r="R1537" s="147">
        <f t="shared" si="166"/>
        <v>107.6</v>
      </c>
      <c r="S1537" s="2">
        <f t="shared" si="168"/>
        <v>0.29239130434782606</v>
      </c>
    </row>
    <row r="1538" spans="1:19" x14ac:dyDescent="0.25">
      <c r="A1538" s="201"/>
      <c r="B1538" s="182"/>
      <c r="C1538" s="182"/>
      <c r="D1538" s="182"/>
      <c r="E1538" s="191"/>
      <c r="F1538" s="169"/>
      <c r="G1538" s="169"/>
      <c r="H1538" s="195"/>
      <c r="I1538" s="196"/>
      <c r="J1538" s="182"/>
      <c r="K1538" s="182"/>
      <c r="L1538" s="169"/>
      <c r="M1538" s="71" t="s">
        <v>1672</v>
      </c>
      <c r="N1538" s="86">
        <f>2*400</f>
        <v>800</v>
      </c>
      <c r="O1538" s="91">
        <v>61</v>
      </c>
      <c r="P1538" s="122"/>
      <c r="Q1538" s="122"/>
      <c r="R1538" s="147">
        <f t="shared" si="166"/>
        <v>61</v>
      </c>
      <c r="S1538" s="2">
        <f t="shared" si="168"/>
        <v>8.2880434782608689E-2</v>
      </c>
    </row>
    <row r="1539" spans="1:19" x14ac:dyDescent="0.25">
      <c r="A1539" s="201"/>
      <c r="B1539" s="182"/>
      <c r="C1539" s="182"/>
      <c r="D1539" s="182"/>
      <c r="E1539" s="191"/>
      <c r="F1539" s="169"/>
      <c r="G1539" s="169"/>
      <c r="H1539" s="195"/>
      <c r="I1539" s="196"/>
      <c r="J1539" s="182"/>
      <c r="K1539" s="182"/>
      <c r="L1539" s="169"/>
      <c r="M1539" s="71" t="s">
        <v>1673</v>
      </c>
      <c r="N1539" s="73">
        <v>160</v>
      </c>
      <c r="O1539" s="91">
        <v>108</v>
      </c>
      <c r="P1539" s="122"/>
      <c r="Q1539" s="122"/>
      <c r="R1539" s="147">
        <f t="shared" si="166"/>
        <v>108</v>
      </c>
      <c r="S1539" s="2">
        <f t="shared" si="168"/>
        <v>0.73369565217391297</v>
      </c>
    </row>
    <row r="1540" spans="1:19" hidden="1" x14ac:dyDescent="0.25">
      <c r="A1540" s="202"/>
      <c r="B1540" s="183"/>
      <c r="C1540" s="183"/>
      <c r="D1540" s="183"/>
      <c r="E1540" s="192"/>
      <c r="F1540" s="169"/>
      <c r="G1540" s="169"/>
      <c r="H1540" s="197"/>
      <c r="I1540" s="198"/>
      <c r="J1540" s="183"/>
      <c r="K1540" s="183"/>
      <c r="L1540" s="169"/>
      <c r="M1540" s="71" t="s">
        <v>1674</v>
      </c>
      <c r="N1540" s="91">
        <v>40</v>
      </c>
      <c r="O1540" s="58" t="s">
        <v>1348</v>
      </c>
      <c r="P1540" s="126"/>
      <c r="Q1540" s="126"/>
      <c r="R1540" s="147">
        <f t="shared" si="166"/>
        <v>0</v>
      </c>
      <c r="S1540" s="108"/>
    </row>
    <row r="1541" spans="1:19" x14ac:dyDescent="0.25">
      <c r="A1541" s="203">
        <f>A1529+1</f>
        <v>9</v>
      </c>
      <c r="B1541" s="181" t="s">
        <v>1675</v>
      </c>
      <c r="C1541" s="181" t="s">
        <v>1676</v>
      </c>
      <c r="D1541" s="181" t="s">
        <v>1592</v>
      </c>
      <c r="E1541" s="190" t="s">
        <v>1602</v>
      </c>
      <c r="F1541" s="193" t="s">
        <v>1677</v>
      </c>
      <c r="G1541" s="194"/>
      <c r="H1541" s="170" t="s">
        <v>709</v>
      </c>
      <c r="I1541" s="171"/>
      <c r="J1541" s="181"/>
      <c r="K1541" s="181"/>
      <c r="L1541" s="169">
        <f>1003/1000</f>
        <v>1.0029999999999999</v>
      </c>
      <c r="M1541" s="65" t="s">
        <v>1678</v>
      </c>
      <c r="N1541" s="47">
        <v>630</v>
      </c>
      <c r="O1541" s="47">
        <v>5.4</v>
      </c>
      <c r="P1541" s="125"/>
      <c r="Q1541" s="125"/>
      <c r="R1541" s="147">
        <f t="shared" si="166"/>
        <v>5.4</v>
      </c>
      <c r="S1541" s="2">
        <f t="shared" ref="S1541:S1580" si="169">R1541/(N1541*0.92)</f>
        <v>9.316770186335404E-3</v>
      </c>
    </row>
    <row r="1542" spans="1:19" x14ac:dyDescent="0.25">
      <c r="A1542" s="201"/>
      <c r="B1542" s="182"/>
      <c r="C1542" s="182"/>
      <c r="D1542" s="182"/>
      <c r="E1542" s="191"/>
      <c r="F1542" s="197"/>
      <c r="G1542" s="198"/>
      <c r="H1542" s="172"/>
      <c r="I1542" s="173"/>
      <c r="J1542" s="182"/>
      <c r="K1542" s="182"/>
      <c r="L1542" s="169"/>
      <c r="M1542" s="84" t="s">
        <v>1679</v>
      </c>
      <c r="N1542" s="91">
        <v>400</v>
      </c>
      <c r="O1542" s="91">
        <v>15.2</v>
      </c>
      <c r="P1542" s="122"/>
      <c r="Q1542" s="122"/>
      <c r="R1542" s="147">
        <f t="shared" si="166"/>
        <v>15.2</v>
      </c>
      <c r="S1542" s="2">
        <f t="shared" si="169"/>
        <v>4.1304347826086954E-2</v>
      </c>
    </row>
    <row r="1543" spans="1:19" x14ac:dyDescent="0.25">
      <c r="A1543" s="201"/>
      <c r="B1543" s="182"/>
      <c r="C1543" s="182"/>
      <c r="D1543" s="182"/>
      <c r="E1543" s="191"/>
      <c r="F1543" s="193" t="s">
        <v>1680</v>
      </c>
      <c r="G1543" s="194"/>
      <c r="H1543" s="172"/>
      <c r="I1543" s="173"/>
      <c r="J1543" s="182"/>
      <c r="K1543" s="182"/>
      <c r="L1543" s="169"/>
      <c r="M1543" s="71" t="s">
        <v>1681</v>
      </c>
      <c r="N1543" s="61">
        <v>400</v>
      </c>
      <c r="O1543" s="91">
        <v>49.4</v>
      </c>
      <c r="P1543" s="122"/>
      <c r="Q1543" s="122"/>
      <c r="R1543" s="147">
        <f t="shared" si="166"/>
        <v>49.4</v>
      </c>
      <c r="S1543" s="2">
        <f t="shared" si="169"/>
        <v>0.13423913043478261</v>
      </c>
    </row>
    <row r="1544" spans="1:19" x14ac:dyDescent="0.25">
      <c r="A1544" s="201"/>
      <c r="B1544" s="182"/>
      <c r="C1544" s="182"/>
      <c r="D1544" s="182"/>
      <c r="E1544" s="191"/>
      <c r="F1544" s="195"/>
      <c r="G1544" s="196"/>
      <c r="H1544" s="172"/>
      <c r="I1544" s="173"/>
      <c r="J1544" s="182"/>
      <c r="K1544" s="182"/>
      <c r="L1544" s="169"/>
      <c r="M1544" s="71" t="s">
        <v>1682</v>
      </c>
      <c r="N1544" s="14">
        <f>2*160</f>
        <v>320</v>
      </c>
      <c r="O1544" s="91">
        <v>137.19999999999999</v>
      </c>
      <c r="P1544" s="122"/>
      <c r="Q1544" s="122">
        <f>79.62+15</f>
        <v>94.62</v>
      </c>
      <c r="R1544" s="147">
        <f t="shared" si="166"/>
        <v>231.82</v>
      </c>
      <c r="S1544" s="2">
        <f t="shared" si="169"/>
        <v>0.78743206521739117</v>
      </c>
    </row>
    <row r="1545" spans="1:19" x14ac:dyDescent="0.25">
      <c r="A1545" s="201"/>
      <c r="B1545" s="182"/>
      <c r="C1545" s="182"/>
      <c r="D1545" s="182"/>
      <c r="E1545" s="191"/>
      <c r="F1545" s="197"/>
      <c r="G1545" s="198"/>
      <c r="H1545" s="172"/>
      <c r="I1545" s="173"/>
      <c r="J1545" s="182"/>
      <c r="K1545" s="183"/>
      <c r="L1545" s="169"/>
      <c r="M1545" s="85" t="s">
        <v>1683</v>
      </c>
      <c r="N1545" s="91">
        <v>250</v>
      </c>
      <c r="O1545" s="91">
        <v>235.2</v>
      </c>
      <c r="P1545" s="122"/>
      <c r="Q1545" s="122"/>
      <c r="R1545" s="147">
        <f t="shared" si="166"/>
        <v>235.2</v>
      </c>
      <c r="S1545" s="2">
        <f t="shared" si="169"/>
        <v>1.0226086956521738</v>
      </c>
    </row>
    <row r="1546" spans="1:19" x14ac:dyDescent="0.25">
      <c r="A1546" s="201"/>
      <c r="B1546" s="182"/>
      <c r="C1546" s="182"/>
      <c r="D1546" s="182"/>
      <c r="E1546" s="191"/>
      <c r="F1546" s="193" t="s">
        <v>1684</v>
      </c>
      <c r="G1546" s="194"/>
      <c r="H1546" s="172"/>
      <c r="I1546" s="173"/>
      <c r="J1546" s="182"/>
      <c r="K1546" s="181"/>
      <c r="L1546" s="169">
        <f>1210/1000</f>
        <v>1.21</v>
      </c>
      <c r="M1546" s="71" t="s">
        <v>1685</v>
      </c>
      <c r="N1546" s="91">
        <v>250</v>
      </c>
      <c r="O1546" s="14">
        <v>267.2</v>
      </c>
      <c r="P1546" s="137"/>
      <c r="Q1546" s="137"/>
      <c r="R1546" s="147">
        <f t="shared" si="166"/>
        <v>267.2</v>
      </c>
      <c r="S1546" s="2">
        <f t="shared" si="169"/>
        <v>1.1617391304347826</v>
      </c>
    </row>
    <row r="1547" spans="1:19" x14ac:dyDescent="0.25">
      <c r="A1547" s="201"/>
      <c r="B1547" s="182"/>
      <c r="C1547" s="182"/>
      <c r="D1547" s="182"/>
      <c r="E1547" s="191"/>
      <c r="F1547" s="195"/>
      <c r="G1547" s="196"/>
      <c r="H1547" s="172"/>
      <c r="I1547" s="173"/>
      <c r="J1547" s="182"/>
      <c r="K1547" s="182"/>
      <c r="L1547" s="169"/>
      <c r="M1547" s="71" t="s">
        <v>1686</v>
      </c>
      <c r="N1547" s="91">
        <v>400</v>
      </c>
      <c r="O1547" s="91">
        <v>259.60000000000002</v>
      </c>
      <c r="P1547" s="122"/>
      <c r="Q1547" s="122">
        <f>14.3</f>
        <v>14.3</v>
      </c>
      <c r="R1547" s="147">
        <f t="shared" si="166"/>
        <v>273.90000000000003</v>
      </c>
      <c r="S1547" s="2">
        <f t="shared" si="169"/>
        <v>0.74429347826086967</v>
      </c>
    </row>
    <row r="1548" spans="1:19" x14ac:dyDescent="0.25">
      <c r="A1548" s="201"/>
      <c r="B1548" s="182"/>
      <c r="C1548" s="182"/>
      <c r="D1548" s="182"/>
      <c r="E1548" s="191"/>
      <c r="F1548" s="195"/>
      <c r="G1548" s="196"/>
      <c r="H1548" s="172"/>
      <c r="I1548" s="173"/>
      <c r="J1548" s="182"/>
      <c r="K1548" s="182"/>
      <c r="L1548" s="169"/>
      <c r="M1548" s="71" t="s">
        <v>1687</v>
      </c>
      <c r="N1548" s="91">
        <v>250</v>
      </c>
      <c r="O1548" s="62" t="s">
        <v>2137</v>
      </c>
      <c r="P1548" s="128"/>
      <c r="Q1548" s="122">
        <f>79.62</f>
        <v>79.62</v>
      </c>
      <c r="R1548" s="147">
        <f t="shared" si="166"/>
        <v>181.62</v>
      </c>
      <c r="S1548" s="2">
        <f t="shared" si="169"/>
        <v>0.78965217391304354</v>
      </c>
    </row>
    <row r="1549" spans="1:19" x14ac:dyDescent="0.25">
      <c r="A1549" s="201"/>
      <c r="B1549" s="182"/>
      <c r="C1549" s="182"/>
      <c r="D1549" s="182"/>
      <c r="E1549" s="191"/>
      <c r="F1549" s="195"/>
      <c r="G1549" s="196"/>
      <c r="H1549" s="172"/>
      <c r="I1549" s="173"/>
      <c r="J1549" s="182"/>
      <c r="K1549" s="182"/>
      <c r="L1549" s="169"/>
      <c r="M1549" s="71" t="s">
        <v>1688</v>
      </c>
      <c r="N1549" s="91">
        <v>250</v>
      </c>
      <c r="O1549" s="91">
        <v>151</v>
      </c>
      <c r="P1549" s="122"/>
      <c r="Q1549" s="122">
        <f>15</f>
        <v>15</v>
      </c>
      <c r="R1549" s="147">
        <f t="shared" si="166"/>
        <v>166</v>
      </c>
      <c r="S1549" s="2">
        <f t="shared" si="169"/>
        <v>0.72173913043478266</v>
      </c>
    </row>
    <row r="1550" spans="1:19" x14ac:dyDescent="0.25">
      <c r="A1550" s="201"/>
      <c r="B1550" s="182"/>
      <c r="C1550" s="182"/>
      <c r="D1550" s="182"/>
      <c r="E1550" s="191"/>
      <c r="F1550" s="195"/>
      <c r="G1550" s="196"/>
      <c r="H1550" s="172"/>
      <c r="I1550" s="173"/>
      <c r="J1550" s="182"/>
      <c r="K1550" s="182"/>
      <c r="L1550" s="169"/>
      <c r="M1550" s="71" t="s">
        <v>1689</v>
      </c>
      <c r="N1550" s="61">
        <v>250</v>
      </c>
      <c r="O1550" s="91">
        <v>34.799999999999997</v>
      </c>
      <c r="P1550" s="122"/>
      <c r="Q1550" s="122"/>
      <c r="R1550" s="147">
        <f t="shared" si="166"/>
        <v>34.799999999999997</v>
      </c>
      <c r="S1550" s="2">
        <f t="shared" si="169"/>
        <v>0.15130434782608695</v>
      </c>
    </row>
    <row r="1551" spans="1:19" x14ac:dyDescent="0.25">
      <c r="A1551" s="201"/>
      <c r="B1551" s="182"/>
      <c r="C1551" s="182"/>
      <c r="D1551" s="182"/>
      <c r="E1551" s="191"/>
      <c r="F1551" s="195"/>
      <c r="G1551" s="196"/>
      <c r="H1551" s="172"/>
      <c r="I1551" s="173"/>
      <c r="J1551" s="182"/>
      <c r="K1551" s="182"/>
      <c r="L1551" s="169"/>
      <c r="M1551" s="71" t="s">
        <v>1681</v>
      </c>
      <c r="N1551" s="61">
        <v>400</v>
      </c>
      <c r="O1551" s="91">
        <v>42.6</v>
      </c>
      <c r="P1551" s="122"/>
      <c r="Q1551" s="122"/>
      <c r="R1551" s="147">
        <f t="shared" si="166"/>
        <v>42.6</v>
      </c>
      <c r="S1551" s="2">
        <f t="shared" si="169"/>
        <v>0.11576086956521739</v>
      </c>
    </row>
    <row r="1552" spans="1:19" x14ac:dyDescent="0.25">
      <c r="A1552" s="201"/>
      <c r="B1552" s="182"/>
      <c r="C1552" s="182"/>
      <c r="D1552" s="182"/>
      <c r="E1552" s="191"/>
      <c r="F1552" s="195"/>
      <c r="G1552" s="196"/>
      <c r="H1552" s="172"/>
      <c r="I1552" s="173"/>
      <c r="J1552" s="182"/>
      <c r="K1552" s="182"/>
      <c r="L1552" s="169"/>
      <c r="M1552" s="71" t="s">
        <v>1690</v>
      </c>
      <c r="N1552" s="91">
        <v>250</v>
      </c>
      <c r="O1552" s="47">
        <v>161.4</v>
      </c>
      <c r="P1552" s="125"/>
      <c r="Q1552" s="125">
        <v>16</v>
      </c>
      <c r="R1552" s="147">
        <f t="shared" si="166"/>
        <v>177.4</v>
      </c>
      <c r="S1552" s="2">
        <f t="shared" si="169"/>
        <v>0.77130434782608703</v>
      </c>
    </row>
    <row r="1553" spans="1:19" x14ac:dyDescent="0.25">
      <c r="A1553" s="201"/>
      <c r="B1553" s="182"/>
      <c r="C1553" s="182"/>
      <c r="D1553" s="182"/>
      <c r="E1553" s="191"/>
      <c r="F1553" s="195"/>
      <c r="G1553" s="196"/>
      <c r="H1553" s="172"/>
      <c r="I1553" s="173"/>
      <c r="J1553" s="182"/>
      <c r="K1553" s="182"/>
      <c r="L1553" s="169"/>
      <c r="M1553" s="71" t="s">
        <v>1691</v>
      </c>
      <c r="N1553" s="91">
        <v>400</v>
      </c>
      <c r="O1553" s="91">
        <v>162.4</v>
      </c>
      <c r="P1553" s="122"/>
      <c r="Q1553" s="122"/>
      <c r="R1553" s="147">
        <f t="shared" si="166"/>
        <v>162.4</v>
      </c>
      <c r="S1553" s="2">
        <f t="shared" si="169"/>
        <v>0.44130434782608696</v>
      </c>
    </row>
    <row r="1554" spans="1:19" x14ac:dyDescent="0.25">
      <c r="A1554" s="201"/>
      <c r="B1554" s="182"/>
      <c r="C1554" s="182"/>
      <c r="D1554" s="182"/>
      <c r="E1554" s="191"/>
      <c r="F1554" s="195"/>
      <c r="G1554" s="196"/>
      <c r="H1554" s="172"/>
      <c r="I1554" s="173"/>
      <c r="J1554" s="182"/>
      <c r="K1554" s="182"/>
      <c r="L1554" s="169"/>
      <c r="M1554" s="71" t="s">
        <v>1692</v>
      </c>
      <c r="N1554" s="91">
        <v>250</v>
      </c>
      <c r="O1554" s="91">
        <v>155.4</v>
      </c>
      <c r="P1554" s="122"/>
      <c r="Q1554" s="122"/>
      <c r="R1554" s="147">
        <f t="shared" si="166"/>
        <v>155.4</v>
      </c>
      <c r="S1554" s="2">
        <f t="shared" si="169"/>
        <v>0.67565217391304355</v>
      </c>
    </row>
    <row r="1555" spans="1:19" x14ac:dyDescent="0.25">
      <c r="A1555" s="201"/>
      <c r="B1555" s="182"/>
      <c r="C1555" s="182"/>
      <c r="D1555" s="182"/>
      <c r="E1555" s="191"/>
      <c r="F1555" s="195"/>
      <c r="G1555" s="196"/>
      <c r="H1555" s="172"/>
      <c r="I1555" s="173"/>
      <c r="J1555" s="182"/>
      <c r="K1555" s="182"/>
      <c r="L1555" s="169"/>
      <c r="M1555" s="71" t="s">
        <v>1693</v>
      </c>
      <c r="N1555" s="91">
        <v>400</v>
      </c>
      <c r="O1555" s="91">
        <v>163.19999999999999</v>
      </c>
      <c r="P1555" s="122"/>
      <c r="Q1555" s="122">
        <f>15+15+10</f>
        <v>40</v>
      </c>
      <c r="R1555" s="147">
        <f t="shared" si="166"/>
        <v>203.2</v>
      </c>
      <c r="S1555" s="2">
        <f t="shared" si="169"/>
        <v>0.55217391304347818</v>
      </c>
    </row>
    <row r="1556" spans="1:19" x14ac:dyDescent="0.25">
      <c r="A1556" s="201"/>
      <c r="B1556" s="182"/>
      <c r="C1556" s="182"/>
      <c r="D1556" s="182"/>
      <c r="E1556" s="191"/>
      <c r="F1556" s="195"/>
      <c r="G1556" s="196"/>
      <c r="H1556" s="172"/>
      <c r="I1556" s="173"/>
      <c r="J1556" s="182"/>
      <c r="K1556" s="182"/>
      <c r="L1556" s="169"/>
      <c r="M1556" s="71" t="s">
        <v>1694</v>
      </c>
      <c r="N1556" s="91">
        <v>160</v>
      </c>
      <c r="O1556" s="91">
        <v>110.2</v>
      </c>
      <c r="P1556" s="122"/>
      <c r="Q1556" s="122"/>
      <c r="R1556" s="147">
        <f t="shared" si="166"/>
        <v>110.2</v>
      </c>
      <c r="S1556" s="2">
        <f t="shared" si="169"/>
        <v>0.74864130434782605</v>
      </c>
    </row>
    <row r="1557" spans="1:19" x14ac:dyDescent="0.25">
      <c r="A1557" s="201"/>
      <c r="B1557" s="182"/>
      <c r="C1557" s="182"/>
      <c r="D1557" s="182"/>
      <c r="E1557" s="191"/>
      <c r="F1557" s="197"/>
      <c r="G1557" s="198"/>
      <c r="H1557" s="172"/>
      <c r="I1557" s="173"/>
      <c r="J1557" s="182"/>
      <c r="K1557" s="183"/>
      <c r="L1557" s="169"/>
      <c r="M1557" s="71" t="s">
        <v>1695</v>
      </c>
      <c r="N1557" s="91">
        <v>250</v>
      </c>
      <c r="O1557" s="62" t="s">
        <v>2138</v>
      </c>
      <c r="P1557" s="128"/>
      <c r="Q1557" s="122">
        <v>20</v>
      </c>
      <c r="R1557" s="147">
        <f t="shared" si="166"/>
        <v>109</v>
      </c>
      <c r="S1557" s="2">
        <f t="shared" si="169"/>
        <v>0.47391304347826085</v>
      </c>
    </row>
    <row r="1558" spans="1:19" x14ac:dyDescent="0.25">
      <c r="A1558" s="202"/>
      <c r="B1558" s="183"/>
      <c r="C1558" s="183"/>
      <c r="D1558" s="183"/>
      <c r="E1558" s="192"/>
      <c r="F1558" s="204" t="s">
        <v>1696</v>
      </c>
      <c r="G1558" s="205"/>
      <c r="H1558" s="174"/>
      <c r="I1558" s="175"/>
      <c r="J1558" s="183"/>
      <c r="K1558" s="88"/>
      <c r="L1558" s="169"/>
      <c r="M1558" s="65" t="s">
        <v>1697</v>
      </c>
      <c r="N1558" s="47">
        <v>40</v>
      </c>
      <c r="O1558" s="58" t="s">
        <v>2131</v>
      </c>
      <c r="P1558" s="126"/>
      <c r="Q1558" s="126"/>
      <c r="R1558" s="147">
        <f t="shared" si="166"/>
        <v>15</v>
      </c>
      <c r="S1558" s="2">
        <f t="shared" si="169"/>
        <v>0.40760869565217389</v>
      </c>
    </row>
    <row r="1559" spans="1:19" x14ac:dyDescent="0.25">
      <c r="A1559" s="187">
        <f>A1541+1</f>
        <v>10</v>
      </c>
      <c r="B1559" s="190" t="s">
        <v>1698</v>
      </c>
      <c r="C1559" s="190" t="s">
        <v>1699</v>
      </c>
      <c r="D1559" s="190" t="s">
        <v>1700</v>
      </c>
      <c r="E1559" s="190" t="s">
        <v>107</v>
      </c>
      <c r="F1559" s="193" t="s">
        <v>1701</v>
      </c>
      <c r="G1559" s="194"/>
      <c r="H1559" s="169" t="s">
        <v>709</v>
      </c>
      <c r="I1559" s="169"/>
      <c r="J1559" s="169"/>
      <c r="K1559" s="181"/>
      <c r="L1559" s="169">
        <f>1296/1000</f>
        <v>1.296</v>
      </c>
      <c r="M1559" s="71" t="s">
        <v>1702</v>
      </c>
      <c r="N1559" s="91">
        <v>400</v>
      </c>
      <c r="O1559" s="47">
        <v>128.80000000000001</v>
      </c>
      <c r="P1559" s="125"/>
      <c r="Q1559" s="125"/>
      <c r="R1559" s="147">
        <f t="shared" si="166"/>
        <v>128.80000000000001</v>
      </c>
      <c r="S1559" s="2">
        <f t="shared" si="169"/>
        <v>0.35000000000000003</v>
      </c>
    </row>
    <row r="1560" spans="1:19" x14ac:dyDescent="0.25">
      <c r="A1560" s="188"/>
      <c r="B1560" s="191"/>
      <c r="C1560" s="191"/>
      <c r="D1560" s="191"/>
      <c r="E1560" s="191"/>
      <c r="F1560" s="195"/>
      <c r="G1560" s="196"/>
      <c r="H1560" s="169"/>
      <c r="I1560" s="169"/>
      <c r="J1560" s="169"/>
      <c r="K1560" s="182"/>
      <c r="L1560" s="169"/>
      <c r="M1560" s="65" t="s">
        <v>1703</v>
      </c>
      <c r="N1560" s="91">
        <v>400</v>
      </c>
      <c r="O1560" s="91">
        <v>63</v>
      </c>
      <c r="P1560" s="122"/>
      <c r="Q1560" s="122">
        <f>3</f>
        <v>3</v>
      </c>
      <c r="R1560" s="147">
        <f t="shared" si="166"/>
        <v>66</v>
      </c>
      <c r="S1560" s="2">
        <f t="shared" si="169"/>
        <v>0.17934782608695651</v>
      </c>
    </row>
    <row r="1561" spans="1:19" x14ac:dyDescent="0.25">
      <c r="A1561" s="188"/>
      <c r="B1561" s="191"/>
      <c r="C1561" s="191"/>
      <c r="D1561" s="191"/>
      <c r="E1561" s="191"/>
      <c r="F1561" s="195"/>
      <c r="G1561" s="196"/>
      <c r="H1561" s="169"/>
      <c r="I1561" s="169"/>
      <c r="J1561" s="169"/>
      <c r="K1561" s="182"/>
      <c r="L1561" s="169"/>
      <c r="M1561" s="65" t="s">
        <v>1704</v>
      </c>
      <c r="N1561" s="91">
        <v>400</v>
      </c>
      <c r="O1561" s="91">
        <v>233.6</v>
      </c>
      <c r="P1561" s="122"/>
      <c r="Q1561" s="122">
        <f>15</f>
        <v>15</v>
      </c>
      <c r="R1561" s="147">
        <f t="shared" si="166"/>
        <v>248.6</v>
      </c>
      <c r="S1561" s="2">
        <f t="shared" si="169"/>
        <v>0.67554347826086958</v>
      </c>
    </row>
    <row r="1562" spans="1:19" x14ac:dyDescent="0.25">
      <c r="A1562" s="188"/>
      <c r="B1562" s="191"/>
      <c r="C1562" s="191"/>
      <c r="D1562" s="191"/>
      <c r="E1562" s="191"/>
      <c r="F1562" s="195"/>
      <c r="G1562" s="196"/>
      <c r="H1562" s="169"/>
      <c r="I1562" s="169"/>
      <c r="J1562" s="169"/>
      <c r="K1562" s="182"/>
      <c r="L1562" s="169"/>
      <c r="M1562" s="65" t="s">
        <v>1705</v>
      </c>
      <c r="N1562" s="91">
        <v>400</v>
      </c>
      <c r="O1562" s="91">
        <v>170</v>
      </c>
      <c r="P1562" s="122"/>
      <c r="Q1562" s="122"/>
      <c r="R1562" s="147">
        <f t="shared" si="166"/>
        <v>170</v>
      </c>
      <c r="S1562" s="2">
        <f t="shared" si="169"/>
        <v>0.46195652173913043</v>
      </c>
    </row>
    <row r="1563" spans="1:19" x14ac:dyDescent="0.25">
      <c r="A1563" s="188"/>
      <c r="B1563" s="191"/>
      <c r="C1563" s="191"/>
      <c r="D1563" s="191"/>
      <c r="E1563" s="191"/>
      <c r="F1563" s="195"/>
      <c r="G1563" s="196"/>
      <c r="H1563" s="169"/>
      <c r="I1563" s="169"/>
      <c r="J1563" s="169"/>
      <c r="K1563" s="182"/>
      <c r="L1563" s="169"/>
      <c r="M1563" s="65" t="s">
        <v>1706</v>
      </c>
      <c r="N1563" s="91">
        <v>400</v>
      </c>
      <c r="O1563" s="91">
        <v>74.400000000000006</v>
      </c>
      <c r="P1563" s="122"/>
      <c r="Q1563" s="122"/>
      <c r="R1563" s="147">
        <f t="shared" si="166"/>
        <v>74.400000000000006</v>
      </c>
      <c r="S1563" s="2">
        <f t="shared" si="169"/>
        <v>0.20217391304347829</v>
      </c>
    </row>
    <row r="1564" spans="1:19" x14ac:dyDescent="0.25">
      <c r="A1564" s="188"/>
      <c r="B1564" s="191"/>
      <c r="C1564" s="191"/>
      <c r="D1564" s="191"/>
      <c r="E1564" s="191"/>
      <c r="F1564" s="195"/>
      <c r="G1564" s="196"/>
      <c r="H1564" s="169"/>
      <c r="I1564" s="169"/>
      <c r="J1564" s="169"/>
      <c r="K1564" s="182"/>
      <c r="L1564" s="169"/>
      <c r="M1564" s="65" t="s">
        <v>1707</v>
      </c>
      <c r="N1564" s="91">
        <v>250</v>
      </c>
      <c r="O1564" s="91">
        <v>2.2000000000000002</v>
      </c>
      <c r="P1564" s="122"/>
      <c r="Q1564" s="122"/>
      <c r="R1564" s="147">
        <f t="shared" si="166"/>
        <v>2.2000000000000002</v>
      </c>
      <c r="S1564" s="2">
        <f t="shared" si="169"/>
        <v>9.5652173913043492E-3</v>
      </c>
    </row>
    <row r="1565" spans="1:19" x14ac:dyDescent="0.25">
      <c r="A1565" s="188"/>
      <c r="B1565" s="191"/>
      <c r="C1565" s="191"/>
      <c r="D1565" s="191"/>
      <c r="E1565" s="191"/>
      <c r="F1565" s="195"/>
      <c r="G1565" s="196"/>
      <c r="H1565" s="169"/>
      <c r="I1565" s="169"/>
      <c r="J1565" s="169"/>
      <c r="K1565" s="182"/>
      <c r="L1565" s="169"/>
      <c r="M1565" s="65" t="s">
        <v>1708</v>
      </c>
      <c r="N1565" s="91">
        <v>400</v>
      </c>
      <c r="O1565" s="91">
        <v>178.8</v>
      </c>
      <c r="P1565" s="122"/>
      <c r="Q1565" s="122"/>
      <c r="R1565" s="147">
        <f t="shared" si="166"/>
        <v>178.8</v>
      </c>
      <c r="S1565" s="2">
        <f t="shared" si="169"/>
        <v>0.48586956521739133</v>
      </c>
    </row>
    <row r="1566" spans="1:19" x14ac:dyDescent="0.25">
      <c r="A1566" s="188"/>
      <c r="B1566" s="191"/>
      <c r="C1566" s="191"/>
      <c r="D1566" s="191"/>
      <c r="E1566" s="191"/>
      <c r="F1566" s="195"/>
      <c r="G1566" s="196"/>
      <c r="H1566" s="169"/>
      <c r="I1566" s="169"/>
      <c r="J1566" s="169"/>
      <c r="K1566" s="182"/>
      <c r="L1566" s="169"/>
      <c r="M1566" s="65" t="s">
        <v>1709</v>
      </c>
      <c r="N1566" s="91">
        <v>400</v>
      </c>
      <c r="O1566" s="91">
        <v>126.8</v>
      </c>
      <c r="P1566" s="122"/>
      <c r="Q1566" s="122"/>
      <c r="R1566" s="147">
        <f t="shared" si="166"/>
        <v>126.8</v>
      </c>
      <c r="S1566" s="2">
        <f t="shared" si="169"/>
        <v>0.34456521739130436</v>
      </c>
    </row>
    <row r="1567" spans="1:19" x14ac:dyDescent="0.25">
      <c r="A1567" s="188"/>
      <c r="B1567" s="191"/>
      <c r="C1567" s="191"/>
      <c r="D1567" s="191"/>
      <c r="E1567" s="191"/>
      <c r="F1567" s="195"/>
      <c r="G1567" s="196"/>
      <c r="H1567" s="169"/>
      <c r="I1567" s="169"/>
      <c r="J1567" s="169"/>
      <c r="K1567" s="182"/>
      <c r="L1567" s="169"/>
      <c r="M1567" s="65" t="s">
        <v>1710</v>
      </c>
      <c r="N1567" s="91">
        <v>400</v>
      </c>
      <c r="O1567" s="91">
        <v>187.2</v>
      </c>
      <c r="P1567" s="122"/>
      <c r="Q1567" s="122">
        <f>15</f>
        <v>15</v>
      </c>
      <c r="R1567" s="147">
        <f t="shared" si="166"/>
        <v>202.2</v>
      </c>
      <c r="S1567" s="2">
        <f t="shared" si="169"/>
        <v>0.5494565217391304</v>
      </c>
    </row>
    <row r="1568" spans="1:19" x14ac:dyDescent="0.25">
      <c r="A1568" s="188"/>
      <c r="B1568" s="191"/>
      <c r="C1568" s="191"/>
      <c r="D1568" s="191"/>
      <c r="E1568" s="191"/>
      <c r="F1568" s="195"/>
      <c r="G1568" s="196"/>
      <c r="H1568" s="169"/>
      <c r="I1568" s="169"/>
      <c r="J1568" s="169"/>
      <c r="K1568" s="182"/>
      <c r="L1568" s="169"/>
      <c r="M1568" s="65" t="s">
        <v>1711</v>
      </c>
      <c r="N1568" s="91">
        <v>160</v>
      </c>
      <c r="O1568" s="57">
        <v>43</v>
      </c>
      <c r="P1568" s="124"/>
      <c r="Q1568" s="124"/>
      <c r="R1568" s="147">
        <f t="shared" si="166"/>
        <v>43</v>
      </c>
      <c r="S1568" s="2">
        <f t="shared" si="169"/>
        <v>0.2921195652173913</v>
      </c>
    </row>
    <row r="1569" spans="1:19" x14ac:dyDescent="0.25">
      <c r="A1569" s="188"/>
      <c r="B1569" s="191"/>
      <c r="C1569" s="191"/>
      <c r="D1569" s="191"/>
      <c r="E1569" s="191"/>
      <c r="F1569" s="195"/>
      <c r="G1569" s="196"/>
      <c r="H1569" s="169"/>
      <c r="I1569" s="169"/>
      <c r="J1569" s="169"/>
      <c r="K1569" s="183"/>
      <c r="L1569" s="169"/>
      <c r="M1569" s="65" t="s">
        <v>1712</v>
      </c>
      <c r="N1569" s="91">
        <v>160</v>
      </c>
      <c r="O1569" s="91">
        <v>39.6</v>
      </c>
      <c r="P1569" s="122"/>
      <c r="Q1569" s="122"/>
      <c r="R1569" s="147">
        <f t="shared" si="166"/>
        <v>39.6</v>
      </c>
      <c r="S1569" s="2">
        <f t="shared" si="169"/>
        <v>0.26902173913043476</v>
      </c>
    </row>
    <row r="1570" spans="1:19" x14ac:dyDescent="0.25">
      <c r="A1570" s="188"/>
      <c r="B1570" s="191"/>
      <c r="C1570" s="191"/>
      <c r="D1570" s="191"/>
      <c r="E1570" s="191"/>
      <c r="F1570" s="193" t="s">
        <v>1713</v>
      </c>
      <c r="G1570" s="194"/>
      <c r="H1570" s="169"/>
      <c r="I1570" s="169"/>
      <c r="J1570" s="181"/>
      <c r="K1570" s="190"/>
      <c r="L1570" s="169">
        <f>357/1000</f>
        <v>0.35699999999999998</v>
      </c>
      <c r="M1570" s="71" t="s">
        <v>1714</v>
      </c>
      <c r="N1570" s="91">
        <v>250</v>
      </c>
      <c r="O1570" s="91">
        <v>53</v>
      </c>
      <c r="P1570" s="122"/>
      <c r="Q1570" s="122"/>
      <c r="R1570" s="147">
        <f t="shared" si="166"/>
        <v>53</v>
      </c>
      <c r="S1570" s="2">
        <f t="shared" si="169"/>
        <v>0.23043478260869565</v>
      </c>
    </row>
    <row r="1571" spans="1:19" x14ac:dyDescent="0.25">
      <c r="A1571" s="188"/>
      <c r="B1571" s="191"/>
      <c r="C1571" s="191"/>
      <c r="D1571" s="191"/>
      <c r="E1571" s="191"/>
      <c r="F1571" s="195"/>
      <c r="G1571" s="196"/>
      <c r="H1571" s="169"/>
      <c r="I1571" s="169"/>
      <c r="J1571" s="182"/>
      <c r="K1571" s="191"/>
      <c r="L1571" s="169"/>
      <c r="M1571" s="71" t="s">
        <v>1715</v>
      </c>
      <c r="N1571" s="91">
        <v>160</v>
      </c>
      <c r="O1571" s="91">
        <v>26.6</v>
      </c>
      <c r="P1571" s="122"/>
      <c r="Q1571" s="122"/>
      <c r="R1571" s="147">
        <f t="shared" si="166"/>
        <v>26.6</v>
      </c>
      <c r="S1571" s="2">
        <f t="shared" si="169"/>
        <v>0.18070652173913043</v>
      </c>
    </row>
    <row r="1572" spans="1:19" x14ac:dyDescent="0.25">
      <c r="A1572" s="188"/>
      <c r="B1572" s="191"/>
      <c r="C1572" s="191"/>
      <c r="D1572" s="191"/>
      <c r="E1572" s="191"/>
      <c r="F1572" s="195"/>
      <c r="G1572" s="196"/>
      <c r="H1572" s="169"/>
      <c r="I1572" s="169"/>
      <c r="J1572" s="182"/>
      <c r="K1572" s="191"/>
      <c r="L1572" s="169"/>
      <c r="M1572" s="71" t="s">
        <v>1716</v>
      </c>
      <c r="N1572" s="86">
        <f>2*400</f>
        <v>800</v>
      </c>
      <c r="O1572" s="91">
        <v>69.599999999999994</v>
      </c>
      <c r="P1572" s="122"/>
      <c r="Q1572" s="122"/>
      <c r="R1572" s="147">
        <f t="shared" si="166"/>
        <v>69.599999999999994</v>
      </c>
      <c r="S1572" s="2">
        <f t="shared" si="169"/>
        <v>9.4565217391304343E-2</v>
      </c>
    </row>
    <row r="1573" spans="1:19" x14ac:dyDescent="0.25">
      <c r="A1573" s="188"/>
      <c r="B1573" s="191"/>
      <c r="C1573" s="191"/>
      <c r="D1573" s="191"/>
      <c r="E1573" s="191"/>
      <c r="F1573" s="195"/>
      <c r="G1573" s="196"/>
      <c r="H1573" s="169"/>
      <c r="I1573" s="169"/>
      <c r="J1573" s="182"/>
      <c r="K1573" s="191"/>
      <c r="L1573" s="169"/>
      <c r="M1573" s="71" t="s">
        <v>1717</v>
      </c>
      <c r="N1573" s="91">
        <v>250</v>
      </c>
      <c r="O1573" s="91">
        <v>150.6</v>
      </c>
      <c r="P1573" s="122"/>
      <c r="Q1573" s="122"/>
      <c r="R1573" s="147">
        <f t="shared" ref="R1573:R1589" si="170">O1573+P1573+Q1573</f>
        <v>150.6</v>
      </c>
      <c r="S1573" s="2">
        <f t="shared" si="169"/>
        <v>0.65478260869565219</v>
      </c>
    </row>
    <row r="1574" spans="1:19" x14ac:dyDescent="0.25">
      <c r="A1574" s="188"/>
      <c r="B1574" s="191"/>
      <c r="C1574" s="191"/>
      <c r="D1574" s="191"/>
      <c r="E1574" s="191"/>
      <c r="F1574" s="195"/>
      <c r="G1574" s="196"/>
      <c r="H1574" s="169"/>
      <c r="I1574" s="169"/>
      <c r="J1574" s="182"/>
      <c r="K1574" s="191"/>
      <c r="L1574" s="169"/>
      <c r="M1574" s="71" t="s">
        <v>1718</v>
      </c>
      <c r="N1574" s="91">
        <v>250</v>
      </c>
      <c r="O1574" s="91">
        <v>52.6</v>
      </c>
      <c r="P1574" s="122"/>
      <c r="Q1574" s="122"/>
      <c r="R1574" s="147">
        <f t="shared" si="170"/>
        <v>52.6</v>
      </c>
      <c r="S1574" s="2">
        <f t="shared" si="169"/>
        <v>0.22869565217391305</v>
      </c>
    </row>
    <row r="1575" spans="1:19" x14ac:dyDescent="0.25">
      <c r="A1575" s="188"/>
      <c r="B1575" s="191"/>
      <c r="C1575" s="191"/>
      <c r="D1575" s="191"/>
      <c r="E1575" s="191"/>
      <c r="F1575" s="195"/>
      <c r="G1575" s="196"/>
      <c r="H1575" s="169"/>
      <c r="I1575" s="169"/>
      <c r="J1575" s="182"/>
      <c r="K1575" s="191"/>
      <c r="L1575" s="169"/>
      <c r="M1575" s="71" t="s">
        <v>1719</v>
      </c>
      <c r="N1575" s="91">
        <v>250</v>
      </c>
      <c r="O1575" s="91">
        <v>101</v>
      </c>
      <c r="P1575" s="122"/>
      <c r="Q1575" s="122"/>
      <c r="R1575" s="147">
        <f t="shared" si="170"/>
        <v>101</v>
      </c>
      <c r="S1575" s="2">
        <f t="shared" si="169"/>
        <v>0.43913043478260871</v>
      </c>
    </row>
    <row r="1576" spans="1:19" x14ac:dyDescent="0.25">
      <c r="A1576" s="188"/>
      <c r="B1576" s="191"/>
      <c r="C1576" s="191"/>
      <c r="D1576" s="191"/>
      <c r="E1576" s="191"/>
      <c r="F1576" s="195"/>
      <c r="G1576" s="196"/>
      <c r="H1576" s="169"/>
      <c r="I1576" s="169"/>
      <c r="J1576" s="182"/>
      <c r="K1576" s="191"/>
      <c r="L1576" s="169"/>
      <c r="M1576" s="71" t="s">
        <v>1720</v>
      </c>
      <c r="N1576" s="14">
        <f>2*250</f>
        <v>500</v>
      </c>
      <c r="O1576" s="91">
        <v>35</v>
      </c>
      <c r="P1576" s="122"/>
      <c r="Q1576" s="122">
        <f>65</f>
        <v>65</v>
      </c>
      <c r="R1576" s="147">
        <f t="shared" si="170"/>
        <v>100</v>
      </c>
      <c r="S1576" s="2">
        <f t="shared" si="169"/>
        <v>0.21739130434782608</v>
      </c>
    </row>
    <row r="1577" spans="1:19" x14ac:dyDescent="0.25">
      <c r="A1577" s="188"/>
      <c r="B1577" s="191"/>
      <c r="C1577" s="191"/>
      <c r="D1577" s="191"/>
      <c r="E1577" s="191"/>
      <c r="F1577" s="195"/>
      <c r="G1577" s="196"/>
      <c r="H1577" s="169"/>
      <c r="I1577" s="169"/>
      <c r="J1577" s="182"/>
      <c r="K1577" s="191"/>
      <c r="L1577" s="169"/>
      <c r="M1577" s="71" t="s">
        <v>1721</v>
      </c>
      <c r="N1577" s="86">
        <f>2*400</f>
        <v>800</v>
      </c>
      <c r="O1577" s="91">
        <v>82.2</v>
      </c>
      <c r="P1577" s="122"/>
      <c r="Q1577" s="122"/>
      <c r="R1577" s="147">
        <f t="shared" si="170"/>
        <v>82.2</v>
      </c>
      <c r="S1577" s="2">
        <f t="shared" si="169"/>
        <v>0.11168478260869566</v>
      </c>
    </row>
    <row r="1578" spans="1:19" ht="14.25" customHeight="1" x14ac:dyDescent="0.25">
      <c r="A1578" s="188"/>
      <c r="B1578" s="191"/>
      <c r="C1578" s="191"/>
      <c r="D1578" s="191"/>
      <c r="E1578" s="191"/>
      <c r="F1578" s="195"/>
      <c r="G1578" s="196"/>
      <c r="H1578" s="169"/>
      <c r="I1578" s="169"/>
      <c r="J1578" s="182"/>
      <c r="K1578" s="191"/>
      <c r="L1578" s="169"/>
      <c r="M1578" s="71" t="s">
        <v>1722</v>
      </c>
      <c r="N1578" s="91">
        <v>400</v>
      </c>
      <c r="O1578" s="47">
        <v>30.2</v>
      </c>
      <c r="P1578" s="125"/>
      <c r="Q1578" s="125">
        <f>15</f>
        <v>15</v>
      </c>
      <c r="R1578" s="147">
        <f t="shared" si="170"/>
        <v>45.2</v>
      </c>
      <c r="S1578" s="2">
        <f t="shared" si="169"/>
        <v>0.12282608695652175</v>
      </c>
    </row>
    <row r="1579" spans="1:19" x14ac:dyDescent="0.25">
      <c r="A1579" s="189"/>
      <c r="B1579" s="192"/>
      <c r="C1579" s="192"/>
      <c r="D1579" s="192"/>
      <c r="E1579" s="192"/>
      <c r="F1579" s="197"/>
      <c r="G1579" s="198"/>
      <c r="H1579" s="169"/>
      <c r="I1579" s="169"/>
      <c r="J1579" s="183"/>
      <c r="K1579" s="192"/>
      <c r="L1579" s="169"/>
      <c r="M1579" s="71" t="s">
        <v>1723</v>
      </c>
      <c r="N1579" s="61">
        <v>63</v>
      </c>
      <c r="O1579" s="58">
        <v>17</v>
      </c>
      <c r="P1579" s="126"/>
      <c r="Q1579" s="126"/>
      <c r="R1579" s="147">
        <f t="shared" si="170"/>
        <v>17</v>
      </c>
      <c r="S1579" s="2">
        <f t="shared" si="169"/>
        <v>0.29330572808833677</v>
      </c>
    </row>
    <row r="1580" spans="1:19" x14ac:dyDescent="0.25">
      <c r="A1580" s="199">
        <f>A1559+1</f>
        <v>11</v>
      </c>
      <c r="B1580" s="190" t="s">
        <v>1724</v>
      </c>
      <c r="C1580" s="200" t="s">
        <v>1725</v>
      </c>
      <c r="D1580" s="190" t="s">
        <v>1724</v>
      </c>
      <c r="E1580" s="200" t="s">
        <v>1577</v>
      </c>
      <c r="F1580" s="195" t="s">
        <v>1726</v>
      </c>
      <c r="G1580" s="196"/>
      <c r="H1580" s="169"/>
      <c r="I1580" s="169"/>
      <c r="J1580" s="74"/>
      <c r="K1580" s="88"/>
      <c r="L1580" s="71">
        <f>18/1000</f>
        <v>1.7999999999999999E-2</v>
      </c>
      <c r="M1580" s="71" t="s">
        <v>1727</v>
      </c>
      <c r="N1580" s="160">
        <v>630</v>
      </c>
      <c r="O1580" s="57">
        <v>86</v>
      </c>
      <c r="P1580" s="124"/>
      <c r="Q1580" s="124"/>
      <c r="R1580" s="147">
        <f t="shared" si="170"/>
        <v>86</v>
      </c>
      <c r="S1580" s="2">
        <f t="shared" si="169"/>
        <v>0.14837819185645271</v>
      </c>
    </row>
    <row r="1581" spans="1:19" hidden="1" x14ac:dyDescent="0.25">
      <c r="A1581" s="199"/>
      <c r="B1581" s="191"/>
      <c r="C1581" s="200"/>
      <c r="D1581" s="191"/>
      <c r="E1581" s="200"/>
      <c r="F1581" s="193" t="s">
        <v>1728</v>
      </c>
      <c r="G1581" s="194"/>
      <c r="H1581" s="169"/>
      <c r="I1581" s="169"/>
      <c r="J1581" s="190"/>
      <c r="K1581" s="181"/>
      <c r="L1581" s="169">
        <f>924/1000</f>
        <v>0.92400000000000004</v>
      </c>
      <c r="M1581" s="71" t="s">
        <v>1727</v>
      </c>
      <c r="N1581" s="61" t="s">
        <v>1362</v>
      </c>
      <c r="O1581" s="64" t="s">
        <v>1348</v>
      </c>
      <c r="P1581" s="130"/>
      <c r="Q1581" s="130"/>
      <c r="R1581" s="147">
        <f t="shared" si="170"/>
        <v>0</v>
      </c>
      <c r="S1581" s="59"/>
    </row>
    <row r="1582" spans="1:19" x14ac:dyDescent="0.25">
      <c r="A1582" s="199"/>
      <c r="B1582" s="191"/>
      <c r="C1582" s="200"/>
      <c r="D1582" s="191"/>
      <c r="E1582" s="200"/>
      <c r="F1582" s="195"/>
      <c r="G1582" s="196"/>
      <c r="H1582" s="169"/>
      <c r="I1582" s="169"/>
      <c r="J1582" s="191"/>
      <c r="K1582" s="182"/>
      <c r="L1582" s="169"/>
      <c r="M1582" s="71" t="s">
        <v>1729</v>
      </c>
      <c r="N1582" s="61">
        <v>400</v>
      </c>
      <c r="O1582" s="91">
        <v>234</v>
      </c>
      <c r="P1582" s="122"/>
      <c r="Q1582" s="122"/>
      <c r="R1582" s="147">
        <f t="shared" si="170"/>
        <v>234</v>
      </c>
      <c r="S1582" s="2">
        <f t="shared" ref="S1582:S1589" si="171">R1582/(N1582*0.92)</f>
        <v>0.63586956521739135</v>
      </c>
    </row>
    <row r="1583" spans="1:19" x14ac:dyDescent="0.25">
      <c r="A1583" s="199"/>
      <c r="B1583" s="191"/>
      <c r="C1583" s="200"/>
      <c r="D1583" s="191"/>
      <c r="E1583" s="200"/>
      <c r="F1583" s="195"/>
      <c r="G1583" s="196"/>
      <c r="H1583" s="169"/>
      <c r="I1583" s="169"/>
      <c r="J1583" s="191"/>
      <c r="K1583" s="182"/>
      <c r="L1583" s="169"/>
      <c r="M1583" s="71" t="s">
        <v>1730</v>
      </c>
      <c r="N1583" s="61">
        <v>400</v>
      </c>
      <c r="O1583" s="91">
        <v>166.6</v>
      </c>
      <c r="P1583" s="122"/>
      <c r="Q1583" s="122"/>
      <c r="R1583" s="147">
        <f t="shared" si="170"/>
        <v>166.6</v>
      </c>
      <c r="S1583" s="2">
        <f t="shared" si="171"/>
        <v>0.45271739130434779</v>
      </c>
    </row>
    <row r="1584" spans="1:19" x14ac:dyDescent="0.25">
      <c r="A1584" s="199"/>
      <c r="B1584" s="191"/>
      <c r="C1584" s="200"/>
      <c r="D1584" s="191"/>
      <c r="E1584" s="200"/>
      <c r="F1584" s="195"/>
      <c r="G1584" s="196"/>
      <c r="H1584" s="169"/>
      <c r="I1584" s="169"/>
      <c r="J1584" s="191"/>
      <c r="K1584" s="182"/>
      <c r="L1584" s="169"/>
      <c r="M1584" s="71" t="s">
        <v>1731</v>
      </c>
      <c r="N1584" s="61">
        <v>400</v>
      </c>
      <c r="O1584" s="91">
        <v>135.19999999999999</v>
      </c>
      <c r="P1584" s="122"/>
      <c r="Q1584" s="122"/>
      <c r="R1584" s="147">
        <f t="shared" si="170"/>
        <v>135.19999999999999</v>
      </c>
      <c r="S1584" s="2">
        <f t="shared" si="171"/>
        <v>0.36739130434782608</v>
      </c>
    </row>
    <row r="1585" spans="1:19" x14ac:dyDescent="0.25">
      <c r="A1585" s="199"/>
      <c r="B1585" s="191"/>
      <c r="C1585" s="200"/>
      <c r="D1585" s="191"/>
      <c r="E1585" s="200"/>
      <c r="F1585" s="195"/>
      <c r="G1585" s="196"/>
      <c r="H1585" s="169"/>
      <c r="I1585" s="169"/>
      <c r="J1585" s="191"/>
      <c r="K1585" s="182"/>
      <c r="L1585" s="169"/>
      <c r="M1585" s="71" t="s">
        <v>1732</v>
      </c>
      <c r="N1585" s="61">
        <v>400</v>
      </c>
      <c r="O1585" s="91">
        <v>181.2</v>
      </c>
      <c r="P1585" s="122"/>
      <c r="Q1585" s="122">
        <f>15</f>
        <v>15</v>
      </c>
      <c r="R1585" s="147">
        <f t="shared" si="170"/>
        <v>196.2</v>
      </c>
      <c r="S1585" s="2">
        <f t="shared" si="171"/>
        <v>0.53315217391304348</v>
      </c>
    </row>
    <row r="1586" spans="1:19" x14ac:dyDescent="0.25">
      <c r="A1586" s="199"/>
      <c r="B1586" s="191"/>
      <c r="C1586" s="200"/>
      <c r="D1586" s="191"/>
      <c r="E1586" s="200"/>
      <c r="F1586" s="195"/>
      <c r="G1586" s="196"/>
      <c r="H1586" s="169"/>
      <c r="I1586" s="169"/>
      <c r="J1586" s="191"/>
      <c r="K1586" s="182"/>
      <c r="L1586" s="169"/>
      <c r="M1586" s="71" t="s">
        <v>1733</v>
      </c>
      <c r="N1586" s="61">
        <v>400</v>
      </c>
      <c r="O1586" s="91">
        <v>117.8</v>
      </c>
      <c r="P1586" s="122"/>
      <c r="Q1586" s="122"/>
      <c r="R1586" s="147">
        <f t="shared" si="170"/>
        <v>117.8</v>
      </c>
      <c r="S1586" s="2">
        <f t="shared" si="171"/>
        <v>0.32010869565217392</v>
      </c>
    </row>
    <row r="1587" spans="1:19" x14ac:dyDescent="0.25">
      <c r="A1587" s="199"/>
      <c r="B1587" s="191"/>
      <c r="C1587" s="200"/>
      <c r="D1587" s="191"/>
      <c r="E1587" s="200"/>
      <c r="F1587" s="195"/>
      <c r="G1587" s="196"/>
      <c r="H1587" s="169"/>
      <c r="I1587" s="169"/>
      <c r="J1587" s="191"/>
      <c r="K1587" s="182"/>
      <c r="L1587" s="169"/>
      <c r="M1587" s="71" t="s">
        <v>1734</v>
      </c>
      <c r="N1587" s="61">
        <v>400</v>
      </c>
      <c r="O1587" s="91">
        <v>202.8</v>
      </c>
      <c r="P1587" s="122"/>
      <c r="Q1587" s="122"/>
      <c r="R1587" s="147">
        <f t="shared" si="170"/>
        <v>202.8</v>
      </c>
      <c r="S1587" s="2">
        <f t="shared" si="171"/>
        <v>0.55108695652173911</v>
      </c>
    </row>
    <row r="1588" spans="1:19" x14ac:dyDescent="0.25">
      <c r="A1588" s="199"/>
      <c r="B1588" s="192"/>
      <c r="C1588" s="200"/>
      <c r="D1588" s="192"/>
      <c r="E1588" s="200"/>
      <c r="F1588" s="197"/>
      <c r="G1588" s="198"/>
      <c r="H1588" s="169"/>
      <c r="I1588" s="169"/>
      <c r="J1588" s="192"/>
      <c r="K1588" s="183"/>
      <c r="L1588" s="169"/>
      <c r="M1588" s="71" t="s">
        <v>1735</v>
      </c>
      <c r="N1588" s="47">
        <v>400</v>
      </c>
      <c r="O1588" s="57" t="s">
        <v>1736</v>
      </c>
      <c r="P1588" s="124"/>
      <c r="Q1588" s="124"/>
      <c r="R1588" s="147">
        <f t="shared" si="170"/>
        <v>215.8</v>
      </c>
      <c r="S1588" s="2">
        <f t="shared" si="171"/>
        <v>0.58641304347826095</v>
      </c>
    </row>
    <row r="1589" spans="1:19" ht="32.25" thickBot="1" x14ac:dyDescent="0.3">
      <c r="A1589" s="75">
        <f>A1580+1</f>
        <v>12</v>
      </c>
      <c r="B1589" s="76" t="s">
        <v>1724</v>
      </c>
      <c r="C1589" s="76" t="s">
        <v>1737</v>
      </c>
      <c r="D1589" s="76" t="s">
        <v>1724</v>
      </c>
      <c r="E1589" s="76" t="s">
        <v>1577</v>
      </c>
      <c r="F1589" s="161" t="s">
        <v>1738</v>
      </c>
      <c r="G1589" s="162"/>
      <c r="H1589" s="163" t="s">
        <v>709</v>
      </c>
      <c r="I1589" s="163"/>
      <c r="J1589" s="76"/>
      <c r="K1589" s="76"/>
      <c r="L1589" s="104">
        <f>12.4/1000</f>
        <v>1.24E-2</v>
      </c>
      <c r="M1589" s="76" t="s">
        <v>1739</v>
      </c>
      <c r="N1589" s="77">
        <v>250</v>
      </c>
      <c r="O1589" s="78">
        <v>12.4</v>
      </c>
      <c r="P1589" s="138"/>
      <c r="Q1589" s="138">
        <f>15+15+15+15</f>
        <v>60</v>
      </c>
      <c r="R1589" s="147">
        <f t="shared" si="170"/>
        <v>72.400000000000006</v>
      </c>
      <c r="S1589" s="2">
        <f t="shared" si="171"/>
        <v>0.31478260869565222</v>
      </c>
    </row>
    <row r="1590" spans="1:19" ht="16.5" hidden="1" thickBot="1" x14ac:dyDescent="0.3">
      <c r="A1590" s="164" t="s">
        <v>1740</v>
      </c>
      <c r="B1590" s="165"/>
      <c r="C1590" s="165"/>
      <c r="D1590" s="165"/>
      <c r="E1590" s="165"/>
      <c r="F1590" s="165"/>
      <c r="G1590" s="165"/>
      <c r="H1590" s="165"/>
      <c r="I1590" s="165"/>
      <c r="J1590" s="165"/>
      <c r="K1590" s="165"/>
      <c r="L1590" s="166"/>
      <c r="M1590" s="165"/>
      <c r="N1590" s="165"/>
      <c r="O1590" s="165"/>
      <c r="P1590" s="167"/>
      <c r="Q1590" s="167"/>
      <c r="R1590" s="167"/>
      <c r="S1590" s="168"/>
    </row>
    <row r="1591" spans="1:19" x14ac:dyDescent="0.25">
      <c r="A1591" s="214">
        <v>1</v>
      </c>
      <c r="B1591" s="169" t="s">
        <v>1755</v>
      </c>
      <c r="C1591" s="169" t="s">
        <v>1741</v>
      </c>
      <c r="D1591" s="169" t="s">
        <v>56</v>
      </c>
      <c r="E1591" s="169" t="s">
        <v>1742</v>
      </c>
      <c r="F1591" s="176" t="s">
        <v>1743</v>
      </c>
      <c r="G1591" s="177"/>
      <c r="H1591" s="170" t="s">
        <v>1744</v>
      </c>
      <c r="I1591" s="171"/>
      <c r="J1591" s="90"/>
      <c r="K1591" s="90"/>
      <c r="L1591" s="88">
        <v>0.112</v>
      </c>
      <c r="M1591" s="88" t="s">
        <v>1745</v>
      </c>
      <c r="N1591" s="91">
        <v>1000</v>
      </c>
      <c r="O1591" s="92">
        <v>111.06600000000002</v>
      </c>
      <c r="P1591" s="139"/>
      <c r="Q1591" s="139"/>
      <c r="R1591" s="139">
        <f>O1591+P1591+Q1591</f>
        <v>111.06600000000002</v>
      </c>
      <c r="S1591" s="2">
        <f>R1591/(N1591*0.92)</f>
        <v>0.12072391304347828</v>
      </c>
    </row>
    <row r="1592" spans="1:19" hidden="1" x14ac:dyDescent="0.25">
      <c r="A1592" s="201"/>
      <c r="B1592" s="169"/>
      <c r="C1592" s="169"/>
      <c r="D1592" s="169"/>
      <c r="E1592" s="169"/>
      <c r="F1592" s="169" t="s">
        <v>1746</v>
      </c>
      <c r="G1592" s="169"/>
      <c r="H1592" s="172"/>
      <c r="I1592" s="173"/>
      <c r="J1592" s="90"/>
      <c r="K1592" s="90"/>
      <c r="L1592" s="88">
        <v>1.7100000000000001E-2</v>
      </c>
      <c r="M1592" s="88" t="s">
        <v>1747</v>
      </c>
      <c r="N1592" s="91">
        <v>1000</v>
      </c>
      <c r="O1592" s="94" t="s">
        <v>1348</v>
      </c>
      <c r="P1592" s="136"/>
      <c r="Q1592" s="136"/>
      <c r="R1592" s="139">
        <f t="shared" ref="R1592:R1597" si="172">O1592+P1592+Q1592</f>
        <v>0</v>
      </c>
      <c r="S1592" s="93"/>
    </row>
    <row r="1593" spans="1:19" hidden="1" x14ac:dyDescent="0.25">
      <c r="A1593" s="201"/>
      <c r="B1593" s="169"/>
      <c r="C1593" s="169"/>
      <c r="D1593" s="169"/>
      <c r="E1593" s="169"/>
      <c r="F1593" s="169" t="s">
        <v>1748</v>
      </c>
      <c r="G1593" s="169"/>
      <c r="H1593" s="172"/>
      <c r="I1593" s="173"/>
      <c r="J1593" s="90"/>
      <c r="K1593" s="88"/>
      <c r="L1593" s="88">
        <v>2.92E-2</v>
      </c>
      <c r="M1593" s="88" t="s">
        <v>1747</v>
      </c>
      <c r="N1593" s="91">
        <v>1000</v>
      </c>
      <c r="O1593" s="94" t="s">
        <v>1348</v>
      </c>
      <c r="P1593" s="136"/>
      <c r="Q1593" s="136"/>
      <c r="R1593" s="139">
        <f t="shared" si="172"/>
        <v>0</v>
      </c>
      <c r="S1593" s="93"/>
    </row>
    <row r="1594" spans="1:19" x14ac:dyDescent="0.25">
      <c r="A1594" s="201"/>
      <c r="B1594" s="169"/>
      <c r="C1594" s="169"/>
      <c r="D1594" s="169"/>
      <c r="E1594" s="169"/>
      <c r="F1594" s="169" t="s">
        <v>1749</v>
      </c>
      <c r="G1594" s="169"/>
      <c r="H1594" s="172"/>
      <c r="I1594" s="173"/>
      <c r="J1594" s="90"/>
      <c r="K1594" s="90"/>
      <c r="L1594" s="88">
        <v>3.61E-2</v>
      </c>
      <c r="M1594" s="88" t="s">
        <v>1750</v>
      </c>
      <c r="N1594" s="91">
        <v>1600</v>
      </c>
      <c r="O1594" s="92">
        <v>25.050400000000003</v>
      </c>
      <c r="P1594" s="139"/>
      <c r="Q1594" s="139"/>
      <c r="R1594" s="139">
        <f t="shared" si="172"/>
        <v>25.050400000000003</v>
      </c>
      <c r="S1594" s="2">
        <f t="shared" ref="S1594:S1597" si="173">R1594/(N1594*0.92)</f>
        <v>1.7017934782608699E-2</v>
      </c>
    </row>
    <row r="1595" spans="1:19" x14ac:dyDescent="0.25">
      <c r="A1595" s="201"/>
      <c r="B1595" s="169"/>
      <c r="C1595" s="169"/>
      <c r="D1595" s="169"/>
      <c r="E1595" s="169"/>
      <c r="F1595" s="169" t="s">
        <v>1751</v>
      </c>
      <c r="G1595" s="169"/>
      <c r="H1595" s="172"/>
      <c r="I1595" s="173"/>
      <c r="J1595" s="90"/>
      <c r="K1595" s="90"/>
      <c r="L1595" s="88">
        <v>3.15E-2</v>
      </c>
      <c r="M1595" s="88" t="s">
        <v>1750</v>
      </c>
      <c r="N1595" s="91">
        <v>1600</v>
      </c>
      <c r="O1595" s="92">
        <v>22.974400000000003</v>
      </c>
      <c r="P1595" s="139"/>
      <c r="Q1595" s="139"/>
      <c r="R1595" s="139">
        <f t="shared" si="172"/>
        <v>22.974400000000003</v>
      </c>
      <c r="S1595" s="2">
        <f t="shared" si="173"/>
        <v>1.5607608695652175E-2</v>
      </c>
    </row>
    <row r="1596" spans="1:19" x14ac:dyDescent="0.25">
      <c r="A1596" s="201"/>
      <c r="B1596" s="169"/>
      <c r="C1596" s="169"/>
      <c r="D1596" s="169"/>
      <c r="E1596" s="169"/>
      <c r="F1596" s="169" t="s">
        <v>1752</v>
      </c>
      <c r="G1596" s="169"/>
      <c r="H1596" s="172"/>
      <c r="I1596" s="173"/>
      <c r="J1596" s="90"/>
      <c r="K1596" s="88"/>
      <c r="L1596" s="88">
        <v>1.54E-2</v>
      </c>
      <c r="M1596" s="88" t="s">
        <v>1753</v>
      </c>
      <c r="N1596" s="91">
        <v>1000</v>
      </c>
      <c r="O1596" s="92">
        <v>13.8</v>
      </c>
      <c r="P1596" s="139"/>
      <c r="Q1596" s="139"/>
      <c r="R1596" s="139">
        <f t="shared" si="172"/>
        <v>13.8</v>
      </c>
      <c r="S1596" s="2">
        <f t="shared" si="173"/>
        <v>1.5000000000000001E-2</v>
      </c>
    </row>
    <row r="1597" spans="1:19" ht="16.5" thickBot="1" x14ac:dyDescent="0.3">
      <c r="A1597" s="288"/>
      <c r="B1597" s="169"/>
      <c r="C1597" s="169"/>
      <c r="D1597" s="169"/>
      <c r="E1597" s="169"/>
      <c r="F1597" s="169" t="s">
        <v>1754</v>
      </c>
      <c r="G1597" s="169"/>
      <c r="H1597" s="174"/>
      <c r="I1597" s="175"/>
      <c r="J1597" s="90"/>
      <c r="K1597" s="90"/>
      <c r="L1597" s="88">
        <v>2.0399999999999998E-2</v>
      </c>
      <c r="M1597" s="88" t="s">
        <v>1753</v>
      </c>
      <c r="N1597" s="91">
        <v>1000</v>
      </c>
      <c r="O1597" s="92">
        <v>18.7</v>
      </c>
      <c r="P1597" s="139"/>
      <c r="Q1597" s="139"/>
      <c r="R1597" s="139">
        <f t="shared" si="172"/>
        <v>18.7</v>
      </c>
      <c r="S1597" s="2">
        <f t="shared" si="173"/>
        <v>2.0326086956521737E-2</v>
      </c>
    </row>
    <row r="1598" spans="1:19" ht="16.5" hidden="1" thickBot="1" x14ac:dyDescent="0.3">
      <c r="A1598" s="164" t="s">
        <v>1847</v>
      </c>
      <c r="B1598" s="165"/>
      <c r="C1598" s="165"/>
      <c r="D1598" s="165"/>
      <c r="E1598" s="165"/>
      <c r="F1598" s="165"/>
      <c r="G1598" s="165"/>
      <c r="H1598" s="165"/>
      <c r="I1598" s="165"/>
      <c r="J1598" s="165"/>
      <c r="K1598" s="165"/>
      <c r="L1598" s="257"/>
      <c r="M1598" s="165"/>
      <c r="N1598" s="165"/>
      <c r="O1598" s="165"/>
      <c r="P1598" s="167"/>
      <c r="Q1598" s="167"/>
      <c r="R1598" s="167"/>
      <c r="S1598" s="168"/>
    </row>
    <row r="1599" spans="1:19" x14ac:dyDescent="0.25">
      <c r="A1599" s="190">
        <v>1</v>
      </c>
      <c r="B1599" s="194" t="s">
        <v>3</v>
      </c>
      <c r="C1599" s="190" t="s">
        <v>1756</v>
      </c>
      <c r="D1599" s="190" t="s">
        <v>3</v>
      </c>
      <c r="E1599" s="190" t="s">
        <v>1757</v>
      </c>
      <c r="F1599" s="204" t="s">
        <v>1758</v>
      </c>
      <c r="G1599" s="205"/>
      <c r="H1599" s="193" t="s">
        <v>709</v>
      </c>
      <c r="I1599" s="282"/>
      <c r="J1599" s="74"/>
      <c r="K1599" s="71"/>
      <c r="L1599" s="90"/>
      <c r="M1599" s="71" t="s">
        <v>1759</v>
      </c>
      <c r="N1599" s="61">
        <v>400</v>
      </c>
      <c r="O1599" s="61">
        <v>6.6</v>
      </c>
      <c r="P1599" s="140"/>
      <c r="Q1599" s="140"/>
      <c r="R1599" s="140">
        <f>O1599+P1599+Q1599</f>
        <v>6.6</v>
      </c>
      <c r="S1599" s="2">
        <f t="shared" ref="S1599:S1607" si="174">R1599/(N1599*0.92)</f>
        <v>1.7934782608695653E-2</v>
      </c>
    </row>
    <row r="1600" spans="1:19" x14ac:dyDescent="0.25">
      <c r="A1600" s="191"/>
      <c r="B1600" s="196"/>
      <c r="C1600" s="191"/>
      <c r="D1600" s="191"/>
      <c r="E1600" s="191"/>
      <c r="F1600" s="204" t="s">
        <v>1760</v>
      </c>
      <c r="G1600" s="205"/>
      <c r="H1600" s="195"/>
      <c r="I1600" s="283"/>
      <c r="J1600" s="74"/>
      <c r="K1600" s="71"/>
      <c r="L1600" s="90"/>
      <c r="M1600" s="71" t="s">
        <v>1761</v>
      </c>
      <c r="N1600" s="61">
        <v>160</v>
      </c>
      <c r="O1600" s="61">
        <v>47.3</v>
      </c>
      <c r="P1600" s="140"/>
      <c r="Q1600" s="140"/>
      <c r="R1600" s="140">
        <f t="shared" ref="R1600:R1608" si="175">O1600+P1600+Q1600</f>
        <v>47.3</v>
      </c>
      <c r="S1600" s="2">
        <f t="shared" si="174"/>
        <v>0.32133152173913038</v>
      </c>
    </row>
    <row r="1601" spans="1:19" x14ac:dyDescent="0.25">
      <c r="A1601" s="191"/>
      <c r="B1601" s="196"/>
      <c r="C1601" s="191"/>
      <c r="D1601" s="191"/>
      <c r="E1601" s="191"/>
      <c r="F1601" s="204" t="s">
        <v>1762</v>
      </c>
      <c r="G1601" s="205"/>
      <c r="H1601" s="195"/>
      <c r="I1601" s="283"/>
      <c r="J1601" s="74"/>
      <c r="K1601" s="71"/>
      <c r="L1601" s="90"/>
      <c r="M1601" s="71" t="s">
        <v>1763</v>
      </c>
      <c r="N1601" s="61">
        <v>630</v>
      </c>
      <c r="O1601" s="61">
        <v>103.5</v>
      </c>
      <c r="P1601" s="140"/>
      <c r="Q1601" s="140"/>
      <c r="R1601" s="140">
        <f t="shared" si="175"/>
        <v>103.5</v>
      </c>
      <c r="S1601" s="2">
        <f t="shared" si="174"/>
        <v>0.17857142857142858</v>
      </c>
    </row>
    <row r="1602" spans="1:19" x14ac:dyDescent="0.25">
      <c r="A1602" s="191"/>
      <c r="B1602" s="196"/>
      <c r="C1602" s="191"/>
      <c r="D1602" s="191"/>
      <c r="E1602" s="191"/>
      <c r="F1602" s="204" t="s">
        <v>1764</v>
      </c>
      <c r="G1602" s="205"/>
      <c r="H1602" s="195"/>
      <c r="I1602" s="283"/>
      <c r="J1602" s="74"/>
      <c r="K1602" s="71"/>
      <c r="L1602" s="90"/>
      <c r="M1602" s="71" t="s">
        <v>1765</v>
      </c>
      <c r="N1602" s="61">
        <v>630</v>
      </c>
      <c r="O1602" s="61">
        <v>120.8</v>
      </c>
      <c r="P1602" s="140"/>
      <c r="Q1602" s="140"/>
      <c r="R1602" s="140">
        <f t="shared" si="175"/>
        <v>120.8</v>
      </c>
      <c r="S1602" s="2">
        <f t="shared" si="174"/>
        <v>0.20841959972394752</v>
      </c>
    </row>
    <row r="1603" spans="1:19" x14ac:dyDescent="0.25">
      <c r="A1603" s="191"/>
      <c r="B1603" s="196"/>
      <c r="C1603" s="191"/>
      <c r="D1603" s="191"/>
      <c r="E1603" s="191"/>
      <c r="F1603" s="204" t="s">
        <v>1766</v>
      </c>
      <c r="G1603" s="205"/>
      <c r="H1603" s="195"/>
      <c r="I1603" s="283"/>
      <c r="J1603" s="74"/>
      <c r="K1603" s="71"/>
      <c r="L1603" s="90"/>
      <c r="M1603" s="71" t="s">
        <v>1767</v>
      </c>
      <c r="N1603" s="61">
        <v>400</v>
      </c>
      <c r="O1603" s="61">
        <v>66.599999999999994</v>
      </c>
      <c r="P1603" s="140"/>
      <c r="Q1603" s="140">
        <f>15</f>
        <v>15</v>
      </c>
      <c r="R1603" s="140">
        <f t="shared" si="175"/>
        <v>81.599999999999994</v>
      </c>
      <c r="S1603" s="2">
        <f t="shared" si="174"/>
        <v>0.22173913043478261</v>
      </c>
    </row>
    <row r="1604" spans="1:19" x14ac:dyDescent="0.25">
      <c r="A1604" s="191"/>
      <c r="B1604" s="196"/>
      <c r="C1604" s="191"/>
      <c r="D1604" s="191"/>
      <c r="E1604" s="191"/>
      <c r="F1604" s="204" t="s">
        <v>1768</v>
      </c>
      <c r="G1604" s="205"/>
      <c r="H1604" s="195"/>
      <c r="I1604" s="283"/>
      <c r="J1604" s="74"/>
      <c r="K1604" s="71"/>
      <c r="L1604" s="90"/>
      <c r="M1604" s="71" t="s">
        <v>1769</v>
      </c>
      <c r="N1604" s="1">
        <f>2*630</f>
        <v>1260</v>
      </c>
      <c r="O1604" s="61">
        <v>147.6</v>
      </c>
      <c r="P1604" s="140"/>
      <c r="Q1604" s="140"/>
      <c r="R1604" s="140">
        <f t="shared" si="175"/>
        <v>147.6</v>
      </c>
      <c r="S1604" s="2">
        <f t="shared" si="174"/>
        <v>0.12732919254658384</v>
      </c>
    </row>
    <row r="1605" spans="1:19" x14ac:dyDescent="0.25">
      <c r="A1605" s="192"/>
      <c r="B1605" s="196"/>
      <c r="C1605" s="192"/>
      <c r="D1605" s="191"/>
      <c r="E1605" s="191"/>
      <c r="F1605" s="204" t="s">
        <v>1770</v>
      </c>
      <c r="G1605" s="205"/>
      <c r="H1605" s="195"/>
      <c r="I1605" s="283"/>
      <c r="J1605" s="74"/>
      <c r="K1605" s="71"/>
      <c r="L1605" s="90"/>
      <c r="M1605" s="71" t="s">
        <v>1771</v>
      </c>
      <c r="N1605" s="61">
        <v>400</v>
      </c>
      <c r="O1605" s="61">
        <v>37</v>
      </c>
      <c r="P1605" s="140"/>
      <c r="Q1605" s="140"/>
      <c r="R1605" s="140">
        <f t="shared" si="175"/>
        <v>37</v>
      </c>
      <c r="S1605" s="2">
        <f t="shared" si="174"/>
        <v>0.10054347826086957</v>
      </c>
    </row>
    <row r="1606" spans="1:19" x14ac:dyDescent="0.25">
      <c r="A1606" s="190">
        <v>2</v>
      </c>
      <c r="B1606" s="196"/>
      <c r="C1606" s="190" t="s">
        <v>1772</v>
      </c>
      <c r="D1606" s="191"/>
      <c r="E1606" s="191"/>
      <c r="F1606" s="204" t="s">
        <v>1773</v>
      </c>
      <c r="G1606" s="205"/>
      <c r="H1606" s="195"/>
      <c r="I1606" s="283"/>
      <c r="J1606" s="74"/>
      <c r="K1606" s="71"/>
      <c r="L1606" s="90"/>
      <c r="M1606" s="71" t="s">
        <v>1774</v>
      </c>
      <c r="N1606" s="61">
        <v>100</v>
      </c>
      <c r="O1606" s="61">
        <v>5</v>
      </c>
      <c r="P1606" s="140"/>
      <c r="Q1606" s="140"/>
      <c r="R1606" s="140">
        <f t="shared" si="175"/>
        <v>5</v>
      </c>
      <c r="S1606" s="2">
        <f t="shared" si="174"/>
        <v>5.434782608695652E-2</v>
      </c>
    </row>
    <row r="1607" spans="1:19" x14ac:dyDescent="0.25">
      <c r="A1607" s="191"/>
      <c r="B1607" s="196"/>
      <c r="C1607" s="191"/>
      <c r="D1607" s="191"/>
      <c r="E1607" s="191"/>
      <c r="F1607" s="204" t="s">
        <v>1775</v>
      </c>
      <c r="G1607" s="205"/>
      <c r="H1607" s="195"/>
      <c r="I1607" s="283"/>
      <c r="J1607" s="74"/>
      <c r="K1607" s="71"/>
      <c r="L1607" s="106"/>
      <c r="M1607" s="71" t="s">
        <v>1776</v>
      </c>
      <c r="N1607" s="86">
        <f>2*400</f>
        <v>800</v>
      </c>
      <c r="O1607" s="61">
        <v>568.20000000000005</v>
      </c>
      <c r="P1607" s="140"/>
      <c r="Q1607" s="140">
        <f>15+63.5+15</f>
        <v>93.5</v>
      </c>
      <c r="R1607" s="140">
        <f t="shared" si="175"/>
        <v>661.7</v>
      </c>
      <c r="S1607" s="2">
        <f t="shared" si="174"/>
        <v>0.89904891304347834</v>
      </c>
    </row>
    <row r="1608" spans="1:19" hidden="1" x14ac:dyDescent="0.25">
      <c r="A1608" s="192"/>
      <c r="B1608" s="198"/>
      <c r="C1608" s="192"/>
      <c r="D1608" s="192"/>
      <c r="E1608" s="192"/>
      <c r="F1608" s="204" t="s">
        <v>1777</v>
      </c>
      <c r="G1608" s="205"/>
      <c r="H1608" s="197"/>
      <c r="I1608" s="284"/>
      <c r="J1608" s="71"/>
      <c r="K1608" s="71"/>
      <c r="L1608" s="107"/>
      <c r="M1608" s="88" t="s">
        <v>1778</v>
      </c>
      <c r="N1608" s="61">
        <v>40</v>
      </c>
      <c r="O1608" s="61">
        <v>0</v>
      </c>
      <c r="P1608" s="140"/>
      <c r="Q1608" s="140"/>
      <c r="R1608" s="140">
        <f t="shared" si="175"/>
        <v>0</v>
      </c>
      <c r="S1608" s="108">
        <f>120.2/N1608/0.92</f>
        <v>3.2663043478260869</v>
      </c>
    </row>
    <row r="1609" spans="1:19" hidden="1" x14ac:dyDescent="0.25">
      <c r="A1609" s="279" t="s">
        <v>1779</v>
      </c>
      <c r="B1609" s="280"/>
      <c r="C1609" s="280"/>
      <c r="D1609" s="280"/>
      <c r="E1609" s="280"/>
      <c r="F1609" s="280"/>
      <c r="G1609" s="280"/>
      <c r="H1609" s="280"/>
      <c r="I1609" s="280"/>
      <c r="J1609" s="280"/>
      <c r="K1609" s="280"/>
      <c r="L1609" s="280"/>
      <c r="M1609" s="280"/>
      <c r="N1609" s="280"/>
      <c r="O1609" s="280"/>
      <c r="P1609" s="280"/>
      <c r="Q1609" s="280"/>
      <c r="R1609" s="280"/>
      <c r="S1609" s="281"/>
    </row>
    <row r="1610" spans="1:19" x14ac:dyDescent="0.25">
      <c r="A1610" s="190">
        <v>3</v>
      </c>
      <c r="B1610" s="200" t="s">
        <v>3</v>
      </c>
      <c r="C1610" s="200" t="s">
        <v>1780</v>
      </c>
      <c r="D1610" s="190" t="s">
        <v>3</v>
      </c>
      <c r="E1610" s="190" t="s">
        <v>1781</v>
      </c>
      <c r="F1610" s="204" t="s">
        <v>1780</v>
      </c>
      <c r="G1610" s="205"/>
      <c r="H1610" s="193" t="s">
        <v>709</v>
      </c>
      <c r="I1610" s="194"/>
      <c r="J1610" s="71"/>
      <c r="K1610" s="71"/>
      <c r="L1610" s="88"/>
      <c r="M1610" s="71" t="s">
        <v>1782</v>
      </c>
      <c r="N1610" s="61">
        <v>160</v>
      </c>
      <c r="O1610" s="61">
        <v>23.7</v>
      </c>
      <c r="P1610" s="140"/>
      <c r="Q1610" s="140">
        <f>15</f>
        <v>15</v>
      </c>
      <c r="R1610" s="140">
        <f>O1610+P1610+Q1610</f>
        <v>38.700000000000003</v>
      </c>
      <c r="S1610" s="2">
        <f t="shared" ref="S1610:S1616" si="176">R1610/(N1610*0.92)</f>
        <v>0.26290760869565216</v>
      </c>
    </row>
    <row r="1611" spans="1:19" x14ac:dyDescent="0.25">
      <c r="A1611" s="191"/>
      <c r="B1611" s="200"/>
      <c r="C1611" s="200"/>
      <c r="D1611" s="191"/>
      <c r="E1611" s="191"/>
      <c r="F1611" s="204" t="s">
        <v>1780</v>
      </c>
      <c r="G1611" s="205"/>
      <c r="H1611" s="195"/>
      <c r="I1611" s="196"/>
      <c r="J1611" s="71"/>
      <c r="K1611" s="71"/>
      <c r="L1611" s="88"/>
      <c r="M1611" s="71" t="s">
        <v>1783</v>
      </c>
      <c r="N1611" s="61">
        <v>400</v>
      </c>
      <c r="O1611" s="61">
        <v>126</v>
      </c>
      <c r="P1611" s="140"/>
      <c r="Q1611" s="140"/>
      <c r="R1611" s="140">
        <f t="shared" ref="R1611:R1616" si="177">O1611+P1611+Q1611</f>
        <v>126</v>
      </c>
      <c r="S1611" s="2">
        <f t="shared" si="176"/>
        <v>0.34239130434782611</v>
      </c>
    </row>
    <row r="1612" spans="1:19" x14ac:dyDescent="0.25">
      <c r="A1612" s="191"/>
      <c r="B1612" s="200"/>
      <c r="C1612" s="200"/>
      <c r="D1612" s="191"/>
      <c r="E1612" s="191"/>
      <c r="F1612" s="204" t="s">
        <v>1780</v>
      </c>
      <c r="G1612" s="205"/>
      <c r="H1612" s="195"/>
      <c r="I1612" s="196"/>
      <c r="J1612" s="71"/>
      <c r="K1612" s="71"/>
      <c r="L1612" s="88"/>
      <c r="M1612" s="71" t="s">
        <v>1784</v>
      </c>
      <c r="N1612" s="61">
        <v>160</v>
      </c>
      <c r="O1612" s="61">
        <v>94.5</v>
      </c>
      <c r="P1612" s="140"/>
      <c r="Q1612" s="140"/>
      <c r="R1612" s="140">
        <f t="shared" si="177"/>
        <v>94.5</v>
      </c>
      <c r="S1612" s="2">
        <f t="shared" si="176"/>
        <v>0.64198369565217384</v>
      </c>
    </row>
    <row r="1613" spans="1:19" x14ac:dyDescent="0.25">
      <c r="A1613" s="191"/>
      <c r="B1613" s="200"/>
      <c r="C1613" s="200"/>
      <c r="D1613" s="191"/>
      <c r="E1613" s="191"/>
      <c r="F1613" s="204" t="s">
        <v>1780</v>
      </c>
      <c r="G1613" s="205"/>
      <c r="H1613" s="195"/>
      <c r="I1613" s="196"/>
      <c r="J1613" s="71"/>
      <c r="K1613" s="71"/>
      <c r="L1613" s="88"/>
      <c r="M1613" s="71" t="s">
        <v>1785</v>
      </c>
      <c r="N1613" s="61">
        <v>400</v>
      </c>
      <c r="O1613" s="61">
        <v>142.1</v>
      </c>
      <c r="P1613" s="140"/>
      <c r="Q1613" s="140">
        <f>15</f>
        <v>15</v>
      </c>
      <c r="R1613" s="140">
        <f t="shared" si="177"/>
        <v>157.1</v>
      </c>
      <c r="S1613" s="2">
        <f t="shared" si="176"/>
        <v>0.42690217391304347</v>
      </c>
    </row>
    <row r="1614" spans="1:19" x14ac:dyDescent="0.25">
      <c r="A1614" s="191"/>
      <c r="B1614" s="200"/>
      <c r="C1614" s="200"/>
      <c r="D1614" s="191"/>
      <c r="E1614" s="191"/>
      <c r="F1614" s="204" t="s">
        <v>1780</v>
      </c>
      <c r="G1614" s="205"/>
      <c r="H1614" s="195"/>
      <c r="I1614" s="196"/>
      <c r="J1614" s="71"/>
      <c r="K1614" s="71"/>
      <c r="L1614" s="88"/>
      <c r="M1614" s="71" t="s">
        <v>1786</v>
      </c>
      <c r="N1614" s="61">
        <v>160</v>
      </c>
      <c r="O1614" s="61">
        <v>31</v>
      </c>
      <c r="P1614" s="140"/>
      <c r="Q1614" s="140"/>
      <c r="R1614" s="140">
        <f t="shared" si="177"/>
        <v>31</v>
      </c>
      <c r="S1614" s="2">
        <f t="shared" si="176"/>
        <v>0.21059782608695649</v>
      </c>
    </row>
    <row r="1615" spans="1:19" x14ac:dyDescent="0.25">
      <c r="A1615" s="191"/>
      <c r="B1615" s="200"/>
      <c r="C1615" s="200"/>
      <c r="D1615" s="191"/>
      <c r="E1615" s="191"/>
      <c r="F1615" s="204" t="s">
        <v>1780</v>
      </c>
      <c r="G1615" s="205"/>
      <c r="H1615" s="195"/>
      <c r="I1615" s="196"/>
      <c r="J1615" s="71"/>
      <c r="K1615" s="71"/>
      <c r="L1615" s="88"/>
      <c r="M1615" s="71" t="s">
        <v>1787</v>
      </c>
      <c r="N1615" s="61">
        <v>160</v>
      </c>
      <c r="O1615" s="61">
        <v>76.5</v>
      </c>
      <c r="P1615" s="61"/>
      <c r="Q1615" s="61"/>
      <c r="R1615" s="140">
        <f t="shared" si="177"/>
        <v>76.5</v>
      </c>
      <c r="S1615" s="2">
        <f t="shared" si="176"/>
        <v>0.51970108695652173</v>
      </c>
    </row>
    <row r="1616" spans="1:19" x14ac:dyDescent="0.25">
      <c r="A1616" s="192"/>
      <c r="B1616" s="200"/>
      <c r="C1616" s="200"/>
      <c r="D1616" s="192"/>
      <c r="E1616" s="192"/>
      <c r="F1616" s="204" t="s">
        <v>1780</v>
      </c>
      <c r="G1616" s="205"/>
      <c r="H1616" s="197"/>
      <c r="I1616" s="198"/>
      <c r="J1616" s="71"/>
      <c r="K1616" s="71"/>
      <c r="L1616" s="88"/>
      <c r="M1616" s="71" t="s">
        <v>1788</v>
      </c>
      <c r="N1616" s="61">
        <v>400</v>
      </c>
      <c r="O1616" s="61">
        <v>110.5</v>
      </c>
      <c r="P1616" s="61"/>
      <c r="Q1616" s="61"/>
      <c r="R1616" s="140">
        <f t="shared" si="177"/>
        <v>110.5</v>
      </c>
      <c r="S1616" s="2">
        <f t="shared" si="176"/>
        <v>0.30027173913043476</v>
      </c>
    </row>
    <row r="1617" spans="1:19" hidden="1" x14ac:dyDescent="0.25">
      <c r="A1617" s="279" t="s">
        <v>1789</v>
      </c>
      <c r="B1617" s="280"/>
      <c r="C1617" s="280"/>
      <c r="D1617" s="280"/>
      <c r="E1617" s="280"/>
      <c r="F1617" s="280"/>
      <c r="G1617" s="280"/>
      <c r="H1617" s="280"/>
      <c r="I1617" s="280"/>
      <c r="J1617" s="280"/>
      <c r="K1617" s="280"/>
      <c r="L1617" s="280"/>
      <c r="M1617" s="280"/>
      <c r="N1617" s="280"/>
      <c r="O1617" s="280"/>
      <c r="P1617" s="280"/>
      <c r="Q1617" s="280"/>
      <c r="R1617" s="280"/>
      <c r="S1617" s="281"/>
    </row>
    <row r="1618" spans="1:19" x14ac:dyDescent="0.25">
      <c r="A1618" s="187">
        <v>4</v>
      </c>
      <c r="B1618" s="190" t="s">
        <v>1790</v>
      </c>
      <c r="C1618" s="190" t="s">
        <v>1791</v>
      </c>
      <c r="D1618" s="190" t="s">
        <v>1790</v>
      </c>
      <c r="E1618" s="190" t="s">
        <v>1792</v>
      </c>
      <c r="F1618" s="193" t="s">
        <v>1793</v>
      </c>
      <c r="G1618" s="194"/>
      <c r="H1618" s="193" t="s">
        <v>709</v>
      </c>
      <c r="I1618" s="194"/>
      <c r="J1618" s="190"/>
      <c r="K1618" s="190"/>
      <c r="L1618" s="181"/>
      <c r="M1618" s="71" t="s">
        <v>1794</v>
      </c>
      <c r="N1618" s="61">
        <v>630</v>
      </c>
      <c r="O1618" s="61">
        <v>291.3</v>
      </c>
      <c r="P1618" s="61"/>
      <c r="Q1618" s="61"/>
      <c r="R1618" s="61">
        <f>O1618+P1618+Q1618</f>
        <v>291.3</v>
      </c>
      <c r="S1618" s="2">
        <f t="shared" ref="S1618:S1619" si="178">R1618/(N1618*0.92)</f>
        <v>0.5025879917184265</v>
      </c>
    </row>
    <row r="1619" spans="1:19" x14ac:dyDescent="0.25">
      <c r="A1619" s="189"/>
      <c r="B1619" s="192"/>
      <c r="C1619" s="192"/>
      <c r="D1619" s="192"/>
      <c r="E1619" s="192"/>
      <c r="F1619" s="197"/>
      <c r="G1619" s="198"/>
      <c r="H1619" s="197"/>
      <c r="I1619" s="198"/>
      <c r="J1619" s="192"/>
      <c r="K1619" s="192"/>
      <c r="L1619" s="183"/>
      <c r="M1619" s="71" t="s">
        <v>1795</v>
      </c>
      <c r="N1619" s="61">
        <v>400</v>
      </c>
      <c r="O1619" s="61">
        <v>246.2</v>
      </c>
      <c r="P1619" s="61"/>
      <c r="Q1619" s="61">
        <f>15+15+15+15+15+15+15</f>
        <v>105</v>
      </c>
      <c r="R1619" s="61">
        <f>O1619+P1619+Q1619</f>
        <v>351.2</v>
      </c>
      <c r="S1619" s="2">
        <f t="shared" si="178"/>
        <v>0.95434782608695645</v>
      </c>
    </row>
    <row r="1620" spans="1:19" hidden="1" x14ac:dyDescent="0.25">
      <c r="A1620" s="279" t="s">
        <v>1796</v>
      </c>
      <c r="B1620" s="280"/>
      <c r="C1620" s="280"/>
      <c r="D1620" s="280"/>
      <c r="E1620" s="280"/>
      <c r="F1620" s="280"/>
      <c r="G1620" s="280"/>
      <c r="H1620" s="280"/>
      <c r="I1620" s="280"/>
      <c r="J1620" s="280"/>
      <c r="K1620" s="280"/>
      <c r="L1620" s="280"/>
      <c r="M1620" s="280"/>
      <c r="N1620" s="280"/>
      <c r="O1620" s="280"/>
      <c r="P1620" s="280"/>
      <c r="Q1620" s="280"/>
      <c r="R1620" s="280"/>
      <c r="S1620" s="281"/>
    </row>
    <row r="1621" spans="1:19" x14ac:dyDescent="0.25">
      <c r="A1621" s="187">
        <v>5</v>
      </c>
      <c r="B1621" s="190" t="s">
        <v>1797</v>
      </c>
      <c r="C1621" s="190" t="s">
        <v>1798</v>
      </c>
      <c r="D1621" s="190" t="s">
        <v>1797</v>
      </c>
      <c r="E1621" s="190" t="s">
        <v>1792</v>
      </c>
      <c r="F1621" s="204" t="s">
        <v>1799</v>
      </c>
      <c r="G1621" s="205"/>
      <c r="H1621" s="193" t="s">
        <v>709</v>
      </c>
      <c r="I1621" s="194"/>
      <c r="J1621" s="65"/>
      <c r="K1621" s="65"/>
      <c r="L1621" s="45"/>
      <c r="M1621" s="71" t="s">
        <v>1800</v>
      </c>
      <c r="N1621" s="1">
        <f t="shared" ref="N1621:N1622" si="179">2*1600</f>
        <v>3200</v>
      </c>
      <c r="O1621" s="61">
        <v>2134</v>
      </c>
      <c r="P1621" s="61"/>
      <c r="Q1621" s="61"/>
      <c r="R1621" s="61">
        <f>O1621+P1621+Q1621</f>
        <v>2134</v>
      </c>
      <c r="S1621" s="2">
        <f t="shared" ref="S1621:S1641" si="180">R1621/(N1621*0.92)</f>
        <v>0.72486413043478259</v>
      </c>
    </row>
    <row r="1622" spans="1:19" x14ac:dyDescent="0.25">
      <c r="A1622" s="188"/>
      <c r="B1622" s="191"/>
      <c r="C1622" s="191"/>
      <c r="D1622" s="191"/>
      <c r="E1622" s="191"/>
      <c r="F1622" s="204" t="s">
        <v>1799</v>
      </c>
      <c r="G1622" s="205"/>
      <c r="H1622" s="195"/>
      <c r="I1622" s="196"/>
      <c r="J1622" s="65"/>
      <c r="K1622" s="65"/>
      <c r="L1622" s="45"/>
      <c r="M1622" s="71" t="s">
        <v>1801</v>
      </c>
      <c r="N1622" s="1">
        <f t="shared" si="179"/>
        <v>3200</v>
      </c>
      <c r="O1622" s="61">
        <v>2027</v>
      </c>
      <c r="P1622" s="61"/>
      <c r="Q1622" s="61"/>
      <c r="R1622" s="61">
        <f t="shared" ref="R1622:R1641" si="181">O1622+P1622+Q1622</f>
        <v>2027</v>
      </c>
      <c r="S1622" s="2">
        <f t="shared" si="180"/>
        <v>0.68851902173913049</v>
      </c>
    </row>
    <row r="1623" spans="1:19" x14ac:dyDescent="0.25">
      <c r="A1623" s="188"/>
      <c r="B1623" s="191"/>
      <c r="C1623" s="191"/>
      <c r="D1623" s="191"/>
      <c r="E1623" s="191"/>
      <c r="F1623" s="204" t="s">
        <v>1799</v>
      </c>
      <c r="G1623" s="205"/>
      <c r="H1623" s="195"/>
      <c r="I1623" s="196"/>
      <c r="J1623" s="65"/>
      <c r="K1623" s="65"/>
      <c r="L1623" s="45"/>
      <c r="M1623" s="71" t="s">
        <v>1802</v>
      </c>
      <c r="N1623" s="61">
        <v>160</v>
      </c>
      <c r="O1623" s="61">
        <v>3.2</v>
      </c>
      <c r="P1623" s="61"/>
      <c r="Q1623" s="61"/>
      <c r="R1623" s="61">
        <f t="shared" si="181"/>
        <v>3.2</v>
      </c>
      <c r="S1623" s="2">
        <f t="shared" si="180"/>
        <v>2.1739130434782608E-2</v>
      </c>
    </row>
    <row r="1624" spans="1:19" x14ac:dyDescent="0.25">
      <c r="A1624" s="188"/>
      <c r="B1624" s="191"/>
      <c r="C1624" s="191"/>
      <c r="D1624" s="191"/>
      <c r="E1624" s="191"/>
      <c r="F1624" s="204" t="s">
        <v>1799</v>
      </c>
      <c r="G1624" s="205"/>
      <c r="H1624" s="195"/>
      <c r="I1624" s="196"/>
      <c r="J1624" s="65"/>
      <c r="K1624" s="65"/>
      <c r="L1624" s="45"/>
      <c r="M1624" s="71" t="s">
        <v>1803</v>
      </c>
      <c r="N1624" s="61">
        <v>250</v>
      </c>
      <c r="O1624" s="61">
        <v>153.1</v>
      </c>
      <c r="P1624" s="61"/>
      <c r="Q1624" s="61"/>
      <c r="R1624" s="61">
        <f t="shared" si="181"/>
        <v>153.1</v>
      </c>
      <c r="S1624" s="2">
        <f t="shared" si="180"/>
        <v>0.66565217391304343</v>
      </c>
    </row>
    <row r="1625" spans="1:19" x14ac:dyDescent="0.25">
      <c r="A1625" s="188"/>
      <c r="B1625" s="191"/>
      <c r="C1625" s="191"/>
      <c r="D1625" s="191"/>
      <c r="E1625" s="191"/>
      <c r="F1625" s="204" t="s">
        <v>1799</v>
      </c>
      <c r="G1625" s="205"/>
      <c r="H1625" s="195"/>
      <c r="I1625" s="196"/>
      <c r="J1625" s="65"/>
      <c r="K1625" s="65"/>
      <c r="L1625" s="45"/>
      <c r="M1625" s="71" t="s">
        <v>1804</v>
      </c>
      <c r="N1625" s="61">
        <v>160</v>
      </c>
      <c r="O1625" s="61">
        <v>105</v>
      </c>
      <c r="P1625" s="61"/>
      <c r="Q1625" s="61">
        <f>15</f>
        <v>15</v>
      </c>
      <c r="R1625" s="61">
        <f t="shared" si="181"/>
        <v>120</v>
      </c>
      <c r="S1625" s="2">
        <f t="shared" si="180"/>
        <v>0.81521739130434778</v>
      </c>
    </row>
    <row r="1626" spans="1:19" x14ac:dyDescent="0.25">
      <c r="A1626" s="188"/>
      <c r="B1626" s="191"/>
      <c r="C1626" s="191"/>
      <c r="D1626" s="191"/>
      <c r="E1626" s="191"/>
      <c r="F1626" s="204" t="s">
        <v>1799</v>
      </c>
      <c r="G1626" s="205"/>
      <c r="H1626" s="195"/>
      <c r="I1626" s="196"/>
      <c r="J1626" s="65"/>
      <c r="K1626" s="65"/>
      <c r="L1626" s="45"/>
      <c r="M1626" s="71" t="s">
        <v>1805</v>
      </c>
      <c r="N1626" s="61">
        <v>400</v>
      </c>
      <c r="O1626" s="61">
        <v>155.19999999999999</v>
      </c>
      <c r="P1626" s="61"/>
      <c r="Q1626" s="61">
        <f>15+15</f>
        <v>30</v>
      </c>
      <c r="R1626" s="61">
        <f t="shared" si="181"/>
        <v>185.2</v>
      </c>
      <c r="S1626" s="2">
        <f t="shared" si="180"/>
        <v>0.50326086956521732</v>
      </c>
    </row>
    <row r="1627" spans="1:19" x14ac:dyDescent="0.25">
      <c r="A1627" s="188"/>
      <c r="B1627" s="191"/>
      <c r="C1627" s="191"/>
      <c r="D1627" s="191"/>
      <c r="E1627" s="191"/>
      <c r="F1627" s="204" t="s">
        <v>1799</v>
      </c>
      <c r="G1627" s="205"/>
      <c r="H1627" s="195"/>
      <c r="I1627" s="196"/>
      <c r="J1627" s="65"/>
      <c r="K1627" s="65"/>
      <c r="L1627" s="45"/>
      <c r="M1627" s="71" t="s">
        <v>1806</v>
      </c>
      <c r="N1627" s="61">
        <v>400</v>
      </c>
      <c r="O1627" s="61">
        <v>139.4</v>
      </c>
      <c r="P1627" s="61"/>
      <c r="Q1627" s="61"/>
      <c r="R1627" s="61">
        <f t="shared" si="181"/>
        <v>139.4</v>
      </c>
      <c r="S1627" s="2">
        <f t="shared" si="180"/>
        <v>0.37880434782608696</v>
      </c>
    </row>
    <row r="1628" spans="1:19" x14ac:dyDescent="0.25">
      <c r="A1628" s="188"/>
      <c r="B1628" s="191"/>
      <c r="C1628" s="191"/>
      <c r="D1628" s="191"/>
      <c r="E1628" s="191"/>
      <c r="F1628" s="204" t="s">
        <v>1799</v>
      </c>
      <c r="G1628" s="205"/>
      <c r="H1628" s="195"/>
      <c r="I1628" s="196"/>
      <c r="J1628" s="65"/>
      <c r="K1628" s="65"/>
      <c r="L1628" s="45"/>
      <c r="M1628" s="71" t="s">
        <v>1807</v>
      </c>
      <c r="N1628" s="61">
        <v>400</v>
      </c>
      <c r="O1628" s="61">
        <v>113.1</v>
      </c>
      <c r="P1628" s="61"/>
      <c r="Q1628" s="61">
        <f>15+15</f>
        <v>30</v>
      </c>
      <c r="R1628" s="61">
        <f t="shared" si="181"/>
        <v>143.1</v>
      </c>
      <c r="S1628" s="2">
        <f t="shared" si="180"/>
        <v>0.3888586956521739</v>
      </c>
    </row>
    <row r="1629" spans="1:19" x14ac:dyDescent="0.25">
      <c r="A1629" s="188"/>
      <c r="B1629" s="191"/>
      <c r="C1629" s="191"/>
      <c r="D1629" s="191"/>
      <c r="E1629" s="191"/>
      <c r="F1629" s="204" t="s">
        <v>1799</v>
      </c>
      <c r="G1629" s="205"/>
      <c r="H1629" s="195"/>
      <c r="I1629" s="196"/>
      <c r="J1629" s="65"/>
      <c r="K1629" s="65"/>
      <c r="L1629" s="45"/>
      <c r="M1629" s="71" t="s">
        <v>1808</v>
      </c>
      <c r="N1629" s="61">
        <v>100</v>
      </c>
      <c r="O1629" s="61">
        <v>60.2</v>
      </c>
      <c r="P1629" s="61"/>
      <c r="Q1629" s="61"/>
      <c r="R1629" s="61">
        <f t="shared" si="181"/>
        <v>60.2</v>
      </c>
      <c r="S1629" s="2">
        <f t="shared" si="180"/>
        <v>0.65434782608695652</v>
      </c>
    </row>
    <row r="1630" spans="1:19" x14ac:dyDescent="0.25">
      <c r="A1630" s="188"/>
      <c r="B1630" s="191"/>
      <c r="C1630" s="191"/>
      <c r="D1630" s="191"/>
      <c r="E1630" s="191"/>
      <c r="F1630" s="204" t="s">
        <v>1799</v>
      </c>
      <c r="G1630" s="205"/>
      <c r="H1630" s="195"/>
      <c r="I1630" s="196"/>
      <c r="J1630" s="65"/>
      <c r="K1630" s="65"/>
      <c r="L1630" s="45"/>
      <c r="M1630" s="71" t="s">
        <v>1809</v>
      </c>
      <c r="N1630" s="61">
        <v>100</v>
      </c>
      <c r="O1630" s="61">
        <v>4</v>
      </c>
      <c r="P1630" s="61"/>
      <c r="Q1630" s="61"/>
      <c r="R1630" s="61">
        <f t="shared" si="181"/>
        <v>4</v>
      </c>
      <c r="S1630" s="2">
        <f t="shared" si="180"/>
        <v>4.3478260869565216E-2</v>
      </c>
    </row>
    <row r="1631" spans="1:19" x14ac:dyDescent="0.25">
      <c r="A1631" s="188"/>
      <c r="B1631" s="191"/>
      <c r="C1631" s="191"/>
      <c r="D1631" s="191"/>
      <c r="E1631" s="191"/>
      <c r="F1631" s="204" t="s">
        <v>1799</v>
      </c>
      <c r="G1631" s="205"/>
      <c r="H1631" s="195"/>
      <c r="I1631" s="196"/>
      <c r="J1631" s="65"/>
      <c r="K1631" s="65"/>
      <c r="L1631" s="45"/>
      <c r="M1631" s="71" t="s">
        <v>1810</v>
      </c>
      <c r="N1631" s="61">
        <v>100</v>
      </c>
      <c r="O1631" s="61">
        <v>4</v>
      </c>
      <c r="P1631" s="61"/>
      <c r="Q1631" s="61"/>
      <c r="R1631" s="61">
        <f t="shared" si="181"/>
        <v>4</v>
      </c>
      <c r="S1631" s="2">
        <f t="shared" si="180"/>
        <v>4.3478260869565216E-2</v>
      </c>
    </row>
    <row r="1632" spans="1:19" x14ac:dyDescent="0.25">
      <c r="A1632" s="188"/>
      <c r="B1632" s="191"/>
      <c r="C1632" s="191"/>
      <c r="D1632" s="191"/>
      <c r="E1632" s="191"/>
      <c r="F1632" s="204" t="s">
        <v>1799</v>
      </c>
      <c r="G1632" s="205"/>
      <c r="H1632" s="195"/>
      <c r="I1632" s="196"/>
      <c r="J1632" s="65"/>
      <c r="K1632" s="65"/>
      <c r="L1632" s="45"/>
      <c r="M1632" s="71" t="s">
        <v>1811</v>
      </c>
      <c r="N1632" s="1">
        <f>2*630</f>
        <v>1260</v>
      </c>
      <c r="O1632" s="61">
        <v>7</v>
      </c>
      <c r="P1632" s="61"/>
      <c r="Q1632" s="61"/>
      <c r="R1632" s="61">
        <f t="shared" si="181"/>
        <v>7</v>
      </c>
      <c r="S1632" s="2">
        <f t="shared" si="180"/>
        <v>6.038647342995169E-3</v>
      </c>
    </row>
    <row r="1633" spans="1:19" x14ac:dyDescent="0.25">
      <c r="A1633" s="188"/>
      <c r="B1633" s="191"/>
      <c r="C1633" s="191"/>
      <c r="D1633" s="191"/>
      <c r="E1633" s="191"/>
      <c r="F1633" s="204" t="s">
        <v>1799</v>
      </c>
      <c r="G1633" s="205"/>
      <c r="H1633" s="195"/>
      <c r="I1633" s="196"/>
      <c r="J1633" s="65"/>
      <c r="K1633" s="65"/>
      <c r="L1633" s="45"/>
      <c r="M1633" s="71" t="s">
        <v>1812</v>
      </c>
      <c r="N1633" s="61">
        <v>630</v>
      </c>
      <c r="O1633" s="61">
        <v>4</v>
      </c>
      <c r="P1633" s="61"/>
      <c r="Q1633" s="61">
        <f>30</f>
        <v>30</v>
      </c>
      <c r="R1633" s="61">
        <f t="shared" si="181"/>
        <v>34</v>
      </c>
      <c r="S1633" s="2">
        <f t="shared" si="180"/>
        <v>5.8661145617667353E-2</v>
      </c>
    </row>
    <row r="1634" spans="1:19" x14ac:dyDescent="0.25">
      <c r="A1634" s="188"/>
      <c r="B1634" s="191"/>
      <c r="C1634" s="191"/>
      <c r="D1634" s="191"/>
      <c r="E1634" s="191"/>
      <c r="F1634" s="204" t="s">
        <v>1799</v>
      </c>
      <c r="G1634" s="205"/>
      <c r="H1634" s="195"/>
      <c r="I1634" s="196"/>
      <c r="J1634" s="65"/>
      <c r="K1634" s="65"/>
      <c r="L1634" s="45"/>
      <c r="M1634" s="71" t="s">
        <v>1813</v>
      </c>
      <c r="N1634" s="61">
        <v>250</v>
      </c>
      <c r="O1634" s="61">
        <v>108.6</v>
      </c>
      <c r="P1634" s="61"/>
      <c r="Q1634" s="61"/>
      <c r="R1634" s="61">
        <f t="shared" si="181"/>
        <v>108.6</v>
      </c>
      <c r="S1634" s="2">
        <f t="shared" si="180"/>
        <v>0.47217391304347822</v>
      </c>
    </row>
    <row r="1635" spans="1:19" x14ac:dyDescent="0.25">
      <c r="A1635" s="188"/>
      <c r="B1635" s="191"/>
      <c r="C1635" s="191"/>
      <c r="D1635" s="191"/>
      <c r="E1635" s="191"/>
      <c r="F1635" s="204" t="s">
        <v>1799</v>
      </c>
      <c r="G1635" s="205"/>
      <c r="H1635" s="195"/>
      <c r="I1635" s="196"/>
      <c r="J1635" s="65"/>
      <c r="K1635" s="65"/>
      <c r="L1635" s="45"/>
      <c r="M1635" s="71" t="s">
        <v>1814</v>
      </c>
      <c r="N1635" s="61">
        <v>630</v>
      </c>
      <c r="O1635" s="61">
        <v>181.2</v>
      </c>
      <c r="P1635" s="61"/>
      <c r="Q1635" s="61"/>
      <c r="R1635" s="61">
        <f t="shared" si="181"/>
        <v>181.2</v>
      </c>
      <c r="S1635" s="2">
        <f t="shared" si="180"/>
        <v>0.31262939958592129</v>
      </c>
    </row>
    <row r="1636" spans="1:19" x14ac:dyDescent="0.25">
      <c r="A1636" s="188"/>
      <c r="B1636" s="191"/>
      <c r="C1636" s="191"/>
      <c r="D1636" s="191"/>
      <c r="E1636" s="191"/>
      <c r="F1636" s="204" t="s">
        <v>1799</v>
      </c>
      <c r="G1636" s="205"/>
      <c r="H1636" s="195"/>
      <c r="I1636" s="196"/>
      <c r="J1636" s="65"/>
      <c r="K1636" s="65"/>
      <c r="L1636" s="45"/>
      <c r="M1636" s="71" t="s">
        <v>1815</v>
      </c>
      <c r="N1636" s="61">
        <v>250</v>
      </c>
      <c r="O1636" s="61">
        <v>147.80000000000001</v>
      </c>
      <c r="P1636" s="61"/>
      <c r="Q1636" s="61"/>
      <c r="R1636" s="61">
        <f t="shared" si="181"/>
        <v>147.80000000000001</v>
      </c>
      <c r="S1636" s="2">
        <f t="shared" si="180"/>
        <v>0.64260869565217393</v>
      </c>
    </row>
    <row r="1637" spans="1:19" x14ac:dyDescent="0.25">
      <c r="A1637" s="188"/>
      <c r="B1637" s="191"/>
      <c r="C1637" s="191"/>
      <c r="D1637" s="191"/>
      <c r="E1637" s="191"/>
      <c r="F1637" s="204" t="s">
        <v>1799</v>
      </c>
      <c r="G1637" s="205"/>
      <c r="H1637" s="195"/>
      <c r="I1637" s="196"/>
      <c r="J1637" s="65"/>
      <c r="K1637" s="65"/>
      <c r="L1637" s="45"/>
      <c r="M1637" s="71" t="s">
        <v>1816</v>
      </c>
      <c r="N1637" s="61">
        <v>250</v>
      </c>
      <c r="O1637" s="61">
        <v>173.9</v>
      </c>
      <c r="P1637" s="61"/>
      <c r="Q1637" s="61"/>
      <c r="R1637" s="61">
        <f t="shared" si="181"/>
        <v>173.9</v>
      </c>
      <c r="S1637" s="2">
        <f t="shared" si="180"/>
        <v>0.75608695652173918</v>
      </c>
    </row>
    <row r="1638" spans="1:19" x14ac:dyDescent="0.25">
      <c r="A1638" s="188"/>
      <c r="B1638" s="191"/>
      <c r="C1638" s="191"/>
      <c r="D1638" s="191"/>
      <c r="E1638" s="191"/>
      <c r="F1638" s="204" t="s">
        <v>1799</v>
      </c>
      <c r="G1638" s="205"/>
      <c r="H1638" s="195"/>
      <c r="I1638" s="196"/>
      <c r="J1638" s="65"/>
      <c r="K1638" s="65"/>
      <c r="L1638" s="45"/>
      <c r="M1638" s="71" t="s">
        <v>1817</v>
      </c>
      <c r="N1638" s="1">
        <f>2*630</f>
        <v>1260</v>
      </c>
      <c r="O1638" s="61">
        <v>170.7</v>
      </c>
      <c r="P1638" s="61"/>
      <c r="Q1638" s="61"/>
      <c r="R1638" s="61">
        <f t="shared" si="181"/>
        <v>170.7</v>
      </c>
      <c r="S1638" s="2">
        <f t="shared" si="180"/>
        <v>0.1472567287784679</v>
      </c>
    </row>
    <row r="1639" spans="1:19" x14ac:dyDescent="0.25">
      <c r="A1639" s="188"/>
      <c r="B1639" s="191"/>
      <c r="C1639" s="191"/>
      <c r="D1639" s="191"/>
      <c r="E1639" s="191"/>
      <c r="F1639" s="204" t="s">
        <v>1799</v>
      </c>
      <c r="G1639" s="205"/>
      <c r="H1639" s="195"/>
      <c r="I1639" s="196"/>
      <c r="J1639" s="65"/>
      <c r="K1639" s="65"/>
      <c r="L1639" s="45"/>
      <c r="M1639" s="71" t="s">
        <v>1818</v>
      </c>
      <c r="N1639" s="61">
        <v>250</v>
      </c>
      <c r="O1639" s="61">
        <v>177.9</v>
      </c>
      <c r="P1639" s="61"/>
      <c r="Q1639" s="61">
        <f>8+8+8+8+8+8</f>
        <v>48</v>
      </c>
      <c r="R1639" s="61">
        <f t="shared" si="181"/>
        <v>225.9</v>
      </c>
      <c r="S1639" s="2">
        <f t="shared" si="180"/>
        <v>0.98217391304347823</v>
      </c>
    </row>
    <row r="1640" spans="1:19" x14ac:dyDescent="0.25">
      <c r="A1640" s="188"/>
      <c r="B1640" s="191"/>
      <c r="C1640" s="191"/>
      <c r="D1640" s="191"/>
      <c r="E1640" s="191"/>
      <c r="F1640" s="204" t="s">
        <v>1799</v>
      </c>
      <c r="G1640" s="205"/>
      <c r="H1640" s="195"/>
      <c r="I1640" s="196"/>
      <c r="J1640" s="65"/>
      <c r="K1640" s="65"/>
      <c r="L1640" s="45"/>
      <c r="M1640" s="71" t="s">
        <v>1819</v>
      </c>
      <c r="N1640" s="61">
        <v>250</v>
      </c>
      <c r="O1640" s="61">
        <v>80.8</v>
      </c>
      <c r="P1640" s="61"/>
      <c r="Q1640" s="61">
        <f>15+15</f>
        <v>30</v>
      </c>
      <c r="R1640" s="61">
        <f t="shared" si="181"/>
        <v>110.8</v>
      </c>
      <c r="S1640" s="2">
        <f t="shared" si="180"/>
        <v>0.48173913043478261</v>
      </c>
    </row>
    <row r="1641" spans="1:19" x14ac:dyDescent="0.25">
      <c r="A1641" s="189"/>
      <c r="B1641" s="192"/>
      <c r="C1641" s="192"/>
      <c r="D1641" s="192"/>
      <c r="E1641" s="192"/>
      <c r="F1641" s="204" t="s">
        <v>1799</v>
      </c>
      <c r="G1641" s="205"/>
      <c r="H1641" s="197"/>
      <c r="I1641" s="198"/>
      <c r="J1641" s="65"/>
      <c r="K1641" s="65"/>
      <c r="L1641" s="45"/>
      <c r="M1641" s="71" t="s">
        <v>1820</v>
      </c>
      <c r="N1641" s="61">
        <v>160</v>
      </c>
      <c r="O1641" s="61">
        <v>11</v>
      </c>
      <c r="P1641" s="61"/>
      <c r="Q1641" s="61"/>
      <c r="R1641" s="61">
        <f t="shared" si="181"/>
        <v>11</v>
      </c>
      <c r="S1641" s="2">
        <f t="shared" si="180"/>
        <v>7.4728260869565202E-2</v>
      </c>
    </row>
    <row r="1642" spans="1:19" hidden="1" x14ac:dyDescent="0.25">
      <c r="A1642" s="285" t="s">
        <v>1821</v>
      </c>
      <c r="B1642" s="286"/>
      <c r="C1642" s="286"/>
      <c r="D1642" s="286"/>
      <c r="E1642" s="286"/>
      <c r="F1642" s="286"/>
      <c r="G1642" s="286"/>
      <c r="H1642" s="286"/>
      <c r="I1642" s="286"/>
      <c r="J1642" s="286"/>
      <c r="K1642" s="286"/>
      <c r="L1642" s="286"/>
      <c r="M1642" s="286"/>
      <c r="N1642" s="286"/>
      <c r="O1642" s="286"/>
      <c r="P1642" s="286"/>
      <c r="Q1642" s="286"/>
      <c r="R1642" s="286"/>
      <c r="S1642" s="287"/>
    </row>
    <row r="1643" spans="1:19" x14ac:dyDescent="0.25">
      <c r="A1643" s="190">
        <v>6</v>
      </c>
      <c r="B1643" s="200" t="s">
        <v>3</v>
      </c>
      <c r="C1643" s="200" t="s">
        <v>1822</v>
      </c>
      <c r="D1643" s="200" t="s">
        <v>709</v>
      </c>
      <c r="E1643" s="190" t="s">
        <v>1781</v>
      </c>
      <c r="F1643" s="200" t="s">
        <v>1823</v>
      </c>
      <c r="G1643" s="200"/>
      <c r="H1643" s="200" t="s">
        <v>709</v>
      </c>
      <c r="I1643" s="200"/>
      <c r="J1643" s="71"/>
      <c r="K1643" s="71"/>
      <c r="L1643" s="45"/>
      <c r="M1643" s="71" t="s">
        <v>1824</v>
      </c>
      <c r="N1643" s="61">
        <v>160</v>
      </c>
      <c r="O1643" s="61">
        <v>106</v>
      </c>
      <c r="P1643" s="61"/>
      <c r="Q1643" s="61"/>
      <c r="R1643" s="61">
        <f>O1643+P1643+Q1643</f>
        <v>106</v>
      </c>
      <c r="S1643" s="2">
        <f t="shared" ref="S1643:S1654" si="182">R1643/(N1643*0.92)</f>
        <v>0.72010869565217384</v>
      </c>
    </row>
    <row r="1644" spans="1:19" x14ac:dyDescent="0.25">
      <c r="A1644" s="191"/>
      <c r="B1644" s="200"/>
      <c r="C1644" s="200"/>
      <c r="D1644" s="200"/>
      <c r="E1644" s="191"/>
      <c r="F1644" s="200" t="s">
        <v>1823</v>
      </c>
      <c r="G1644" s="200"/>
      <c r="H1644" s="200"/>
      <c r="I1644" s="200"/>
      <c r="J1644" s="71"/>
      <c r="K1644" s="71"/>
      <c r="L1644" s="45"/>
      <c r="M1644" s="71" t="s">
        <v>1825</v>
      </c>
      <c r="N1644" s="61">
        <v>400</v>
      </c>
      <c r="O1644" s="61">
        <v>132</v>
      </c>
      <c r="P1644" s="61"/>
      <c r="Q1644" s="61"/>
      <c r="R1644" s="61">
        <f t="shared" ref="R1644:R1654" si="183">O1644+P1644+Q1644</f>
        <v>132</v>
      </c>
      <c r="S1644" s="2">
        <f t="shared" si="182"/>
        <v>0.35869565217391303</v>
      </c>
    </row>
    <row r="1645" spans="1:19" x14ac:dyDescent="0.25">
      <c r="A1645" s="191"/>
      <c r="B1645" s="200"/>
      <c r="C1645" s="200"/>
      <c r="D1645" s="200"/>
      <c r="E1645" s="191"/>
      <c r="F1645" s="200" t="s">
        <v>1823</v>
      </c>
      <c r="G1645" s="200"/>
      <c r="H1645" s="200"/>
      <c r="I1645" s="200"/>
      <c r="J1645" s="71"/>
      <c r="K1645" s="71"/>
      <c r="L1645" s="45"/>
      <c r="M1645" s="71" t="s">
        <v>1826</v>
      </c>
      <c r="N1645" s="61">
        <v>100</v>
      </c>
      <c r="O1645" s="61">
        <v>1.2</v>
      </c>
      <c r="P1645" s="61"/>
      <c r="Q1645" s="61"/>
      <c r="R1645" s="61">
        <f t="shared" si="183"/>
        <v>1.2</v>
      </c>
      <c r="S1645" s="2">
        <f t="shared" si="182"/>
        <v>1.3043478260869565E-2</v>
      </c>
    </row>
    <row r="1646" spans="1:19" x14ac:dyDescent="0.25">
      <c r="A1646" s="191"/>
      <c r="B1646" s="200"/>
      <c r="C1646" s="200"/>
      <c r="D1646" s="200"/>
      <c r="E1646" s="191"/>
      <c r="F1646" s="200" t="s">
        <v>1823</v>
      </c>
      <c r="G1646" s="200"/>
      <c r="H1646" s="200"/>
      <c r="I1646" s="200"/>
      <c r="J1646" s="71"/>
      <c r="K1646" s="71"/>
      <c r="L1646" s="45"/>
      <c r="M1646" s="71" t="s">
        <v>1827</v>
      </c>
      <c r="N1646" s="61">
        <v>250</v>
      </c>
      <c r="O1646" s="61">
        <v>92.1</v>
      </c>
      <c r="P1646" s="61"/>
      <c r="Q1646" s="61"/>
      <c r="R1646" s="61">
        <f t="shared" si="183"/>
        <v>92.1</v>
      </c>
      <c r="S1646" s="2">
        <f t="shared" si="182"/>
        <v>0.40043478260869564</v>
      </c>
    </row>
    <row r="1647" spans="1:19" x14ac:dyDescent="0.25">
      <c r="A1647" s="191"/>
      <c r="B1647" s="200"/>
      <c r="C1647" s="200"/>
      <c r="D1647" s="200"/>
      <c r="E1647" s="191"/>
      <c r="F1647" s="200" t="s">
        <v>1822</v>
      </c>
      <c r="G1647" s="200"/>
      <c r="H1647" s="200"/>
      <c r="I1647" s="200"/>
      <c r="J1647" s="71"/>
      <c r="K1647" s="71"/>
      <c r="L1647" s="45"/>
      <c r="M1647" s="71" t="s">
        <v>1828</v>
      </c>
      <c r="N1647" s="61">
        <v>63</v>
      </c>
      <c r="O1647" s="61">
        <v>1.1000000000000001</v>
      </c>
      <c r="P1647" s="61"/>
      <c r="Q1647" s="61"/>
      <c r="R1647" s="61">
        <f t="shared" si="183"/>
        <v>1.1000000000000001</v>
      </c>
      <c r="S1647" s="2">
        <f t="shared" si="182"/>
        <v>1.8978605935127676E-2</v>
      </c>
    </row>
    <row r="1648" spans="1:19" x14ac:dyDescent="0.25">
      <c r="A1648" s="191"/>
      <c r="B1648" s="200"/>
      <c r="C1648" s="200"/>
      <c r="D1648" s="200"/>
      <c r="E1648" s="191"/>
      <c r="F1648" s="200" t="s">
        <v>1822</v>
      </c>
      <c r="G1648" s="200"/>
      <c r="H1648" s="200"/>
      <c r="I1648" s="200"/>
      <c r="J1648" s="71"/>
      <c r="K1648" s="71"/>
      <c r="L1648" s="45"/>
      <c r="M1648" s="71" t="s">
        <v>1829</v>
      </c>
      <c r="N1648" s="61">
        <v>160</v>
      </c>
      <c r="O1648" s="61">
        <v>34.299999999999997</v>
      </c>
      <c r="P1648" s="61"/>
      <c r="Q1648" s="61"/>
      <c r="R1648" s="61">
        <f t="shared" si="183"/>
        <v>34.299999999999997</v>
      </c>
      <c r="S1648" s="2">
        <f t="shared" si="182"/>
        <v>0.23301630434782605</v>
      </c>
    </row>
    <row r="1649" spans="1:19" x14ac:dyDescent="0.25">
      <c r="A1649" s="191"/>
      <c r="B1649" s="200"/>
      <c r="C1649" s="200"/>
      <c r="D1649" s="200"/>
      <c r="E1649" s="191"/>
      <c r="F1649" s="200" t="s">
        <v>1830</v>
      </c>
      <c r="G1649" s="200"/>
      <c r="H1649" s="200"/>
      <c r="I1649" s="200"/>
      <c r="J1649" s="71"/>
      <c r="K1649" s="71"/>
      <c r="L1649" s="45"/>
      <c r="M1649" s="71" t="s">
        <v>1831</v>
      </c>
      <c r="N1649" s="61">
        <v>250</v>
      </c>
      <c r="O1649" s="61">
        <v>120.2</v>
      </c>
      <c r="P1649" s="61"/>
      <c r="Q1649" s="61"/>
      <c r="R1649" s="61">
        <f t="shared" si="183"/>
        <v>120.2</v>
      </c>
      <c r="S1649" s="2">
        <f t="shared" si="182"/>
        <v>0.52260869565217394</v>
      </c>
    </row>
    <row r="1650" spans="1:19" x14ac:dyDescent="0.25">
      <c r="A1650" s="191"/>
      <c r="B1650" s="200"/>
      <c r="C1650" s="200" t="s">
        <v>1832</v>
      </c>
      <c r="D1650" s="200"/>
      <c r="E1650" s="191"/>
      <c r="F1650" s="200" t="s">
        <v>1832</v>
      </c>
      <c r="G1650" s="200"/>
      <c r="H1650" s="200"/>
      <c r="I1650" s="200"/>
      <c r="J1650" s="71"/>
      <c r="K1650" s="71"/>
      <c r="L1650" s="45"/>
      <c r="M1650" s="71" t="s">
        <v>1833</v>
      </c>
      <c r="N1650" s="61">
        <v>250</v>
      </c>
      <c r="O1650" s="61">
        <v>120.2</v>
      </c>
      <c r="P1650" s="61"/>
      <c r="Q1650" s="61"/>
      <c r="R1650" s="61">
        <f>O1650+P1650+Q1650+28.4</f>
        <v>148.6</v>
      </c>
      <c r="S1650" s="2">
        <f t="shared" si="182"/>
        <v>0.64608695652173909</v>
      </c>
    </row>
    <row r="1651" spans="1:19" x14ac:dyDescent="0.25">
      <c r="A1651" s="191"/>
      <c r="B1651" s="200"/>
      <c r="C1651" s="200"/>
      <c r="D1651" s="200"/>
      <c r="E1651" s="191"/>
      <c r="F1651" s="200" t="s">
        <v>1832</v>
      </c>
      <c r="G1651" s="200"/>
      <c r="H1651" s="200"/>
      <c r="I1651" s="200"/>
      <c r="J1651" s="71"/>
      <c r="K1651" s="71"/>
      <c r="L1651" s="45"/>
      <c r="M1651" s="71" t="s">
        <v>1834</v>
      </c>
      <c r="N1651" s="61">
        <v>160</v>
      </c>
      <c r="O1651" s="61">
        <v>34.299999999999997</v>
      </c>
      <c r="P1651" s="61"/>
      <c r="Q1651" s="61"/>
      <c r="R1651" s="61">
        <f t="shared" si="183"/>
        <v>34.299999999999997</v>
      </c>
      <c r="S1651" s="2">
        <f t="shared" si="182"/>
        <v>0.23301630434782605</v>
      </c>
    </row>
    <row r="1652" spans="1:19" x14ac:dyDescent="0.25">
      <c r="A1652" s="191"/>
      <c r="B1652" s="200"/>
      <c r="C1652" s="200"/>
      <c r="D1652" s="200"/>
      <c r="E1652" s="191"/>
      <c r="F1652" s="200" t="s">
        <v>1832</v>
      </c>
      <c r="G1652" s="200"/>
      <c r="H1652" s="200"/>
      <c r="I1652" s="200"/>
      <c r="J1652" s="71"/>
      <c r="K1652" s="71"/>
      <c r="L1652" s="45"/>
      <c r="M1652" s="71" t="s">
        <v>1835</v>
      </c>
      <c r="N1652" s="61">
        <v>400</v>
      </c>
      <c r="O1652" s="61">
        <v>149.4</v>
      </c>
      <c r="P1652" s="61"/>
      <c r="Q1652" s="61"/>
      <c r="R1652" s="61">
        <f>O1652+P1652+Q1652+15+28.4</f>
        <v>192.8</v>
      </c>
      <c r="S1652" s="2">
        <f t="shared" si="182"/>
        <v>0.52391304347826095</v>
      </c>
    </row>
    <row r="1653" spans="1:19" ht="31.5" x14ac:dyDescent="0.25">
      <c r="A1653" s="191"/>
      <c r="B1653" s="200"/>
      <c r="C1653" s="71" t="s">
        <v>1836</v>
      </c>
      <c r="D1653" s="200"/>
      <c r="E1653" s="191"/>
      <c r="F1653" s="200" t="s">
        <v>1837</v>
      </c>
      <c r="G1653" s="200"/>
      <c r="H1653" s="200"/>
      <c r="I1653" s="200"/>
      <c r="J1653" s="71"/>
      <c r="K1653" s="71"/>
      <c r="L1653" s="45"/>
      <c r="M1653" s="71" t="s">
        <v>1838</v>
      </c>
      <c r="N1653" s="61">
        <v>250</v>
      </c>
      <c r="O1653" s="61">
        <v>16.3</v>
      </c>
      <c r="P1653" s="61"/>
      <c r="Q1653" s="61"/>
      <c r="R1653" s="61">
        <f t="shared" si="183"/>
        <v>16.3</v>
      </c>
      <c r="S1653" s="2">
        <f t="shared" si="182"/>
        <v>7.0869565217391309E-2</v>
      </c>
    </row>
    <row r="1654" spans="1:19" ht="31.5" x14ac:dyDescent="0.25">
      <c r="A1654" s="192"/>
      <c r="B1654" s="200"/>
      <c r="C1654" s="71" t="s">
        <v>1839</v>
      </c>
      <c r="D1654" s="200"/>
      <c r="E1654" s="192"/>
      <c r="F1654" s="200" t="s">
        <v>1840</v>
      </c>
      <c r="G1654" s="200"/>
      <c r="H1654" s="200"/>
      <c r="I1654" s="200"/>
      <c r="J1654" s="71"/>
      <c r="K1654" s="71"/>
      <c r="L1654" s="45"/>
      <c r="M1654" s="71" t="s">
        <v>1841</v>
      </c>
      <c r="N1654" s="61">
        <v>160</v>
      </c>
      <c r="O1654" s="61">
        <v>0</v>
      </c>
      <c r="P1654" s="61"/>
      <c r="Q1654" s="61">
        <f>60</f>
        <v>60</v>
      </c>
      <c r="R1654" s="61">
        <f t="shared" si="183"/>
        <v>60</v>
      </c>
      <c r="S1654" s="2">
        <f t="shared" si="182"/>
        <v>0.40760869565217389</v>
      </c>
    </row>
    <row r="1655" spans="1:19" hidden="1" x14ac:dyDescent="0.25">
      <c r="A1655" s="285" t="s">
        <v>1842</v>
      </c>
      <c r="B1655" s="286"/>
      <c r="C1655" s="286"/>
      <c r="D1655" s="286"/>
      <c r="E1655" s="286"/>
      <c r="F1655" s="286"/>
      <c r="G1655" s="286"/>
      <c r="H1655" s="286"/>
      <c r="I1655" s="286"/>
      <c r="J1655" s="286"/>
      <c r="K1655" s="286"/>
      <c r="L1655" s="286"/>
      <c r="M1655" s="286"/>
      <c r="N1655" s="286"/>
      <c r="O1655" s="286"/>
      <c r="P1655" s="286"/>
      <c r="Q1655" s="286"/>
      <c r="R1655" s="286"/>
      <c r="S1655" s="287"/>
    </row>
    <row r="1656" spans="1:19" ht="31.5" hidden="1" x14ac:dyDescent="0.25">
      <c r="A1656" s="74">
        <v>7</v>
      </c>
      <c r="B1656" s="88" t="s">
        <v>3</v>
      </c>
      <c r="C1656" s="71" t="s">
        <v>1843</v>
      </c>
      <c r="D1656" s="71" t="s">
        <v>3</v>
      </c>
      <c r="E1656" s="61" t="s">
        <v>1757</v>
      </c>
      <c r="F1656" s="200" t="s">
        <v>1844</v>
      </c>
      <c r="G1656" s="200"/>
      <c r="H1656" s="200" t="s">
        <v>709</v>
      </c>
      <c r="I1656" s="200"/>
      <c r="J1656" s="71"/>
      <c r="K1656" s="71"/>
      <c r="L1656" s="88"/>
      <c r="M1656" s="71" t="s">
        <v>1845</v>
      </c>
      <c r="N1656" s="61">
        <v>63</v>
      </c>
      <c r="O1656" s="61">
        <v>0</v>
      </c>
      <c r="P1656" s="61"/>
      <c r="Q1656" s="61"/>
      <c r="R1656" s="61">
        <f>O1656+P1656+Q1656</f>
        <v>0</v>
      </c>
      <c r="S1656" s="108"/>
    </row>
    <row r="1657" spans="1:19" hidden="1" x14ac:dyDescent="0.25">
      <c r="A1657" s="285" t="s">
        <v>1846</v>
      </c>
      <c r="B1657" s="286"/>
      <c r="C1657" s="286"/>
      <c r="D1657" s="286"/>
      <c r="E1657" s="286"/>
      <c r="F1657" s="286"/>
      <c r="G1657" s="286"/>
      <c r="H1657" s="286"/>
      <c r="I1657" s="286"/>
      <c r="J1657" s="286"/>
      <c r="K1657" s="286"/>
      <c r="L1657" s="286"/>
      <c r="M1657" s="286"/>
      <c r="N1657" s="286"/>
      <c r="O1657" s="286"/>
      <c r="P1657" s="286"/>
      <c r="Q1657" s="286"/>
      <c r="R1657" s="286"/>
      <c r="S1657" s="287"/>
    </row>
    <row r="1658" spans="1:19" ht="16.5" hidden="1" thickBot="1" x14ac:dyDescent="0.3">
      <c r="A1658" s="164" t="s">
        <v>1848</v>
      </c>
      <c r="B1658" s="165"/>
      <c r="C1658" s="165"/>
      <c r="D1658" s="165"/>
      <c r="E1658" s="165"/>
      <c r="F1658" s="165"/>
      <c r="G1658" s="165"/>
      <c r="H1658" s="165"/>
      <c r="I1658" s="165"/>
      <c r="J1658" s="165"/>
      <c r="K1658" s="165"/>
      <c r="L1658" s="257"/>
      <c r="M1658" s="165"/>
      <c r="N1658" s="165"/>
      <c r="O1658" s="165"/>
      <c r="P1658" s="167"/>
      <c r="Q1658" s="167"/>
      <c r="R1658" s="167"/>
      <c r="S1658" s="168"/>
    </row>
    <row r="1659" spans="1:19" hidden="1" x14ac:dyDescent="0.25">
      <c r="A1659" s="89">
        <v>1</v>
      </c>
      <c r="B1659" s="181" t="s">
        <v>1849</v>
      </c>
      <c r="C1659" s="181" t="s">
        <v>1850</v>
      </c>
      <c r="D1659" s="181" t="s">
        <v>3</v>
      </c>
      <c r="E1659" s="181"/>
      <c r="F1659" s="170" t="s">
        <v>1851</v>
      </c>
      <c r="G1659" s="171"/>
      <c r="H1659" s="169" t="s">
        <v>709</v>
      </c>
      <c r="I1659" s="169"/>
      <c r="J1659" s="88"/>
      <c r="K1659" s="88"/>
      <c r="L1659" s="88">
        <v>0</v>
      </c>
      <c r="M1659" s="88"/>
      <c r="N1659" s="91"/>
      <c r="O1659" s="1"/>
      <c r="P1659" s="141"/>
      <c r="Q1659" s="141"/>
      <c r="R1659" s="141">
        <f>O1659+P1659+Q1659</f>
        <v>0</v>
      </c>
      <c r="S1659" s="109"/>
    </row>
    <row r="1660" spans="1:19" hidden="1" x14ac:dyDescent="0.25">
      <c r="A1660" s="89">
        <f>A1659+1</f>
        <v>2</v>
      </c>
      <c r="B1660" s="182"/>
      <c r="C1660" s="182"/>
      <c r="D1660" s="182"/>
      <c r="E1660" s="182"/>
      <c r="F1660" s="170" t="s">
        <v>1852</v>
      </c>
      <c r="G1660" s="171"/>
      <c r="H1660" s="169"/>
      <c r="I1660" s="169"/>
      <c r="J1660" s="88"/>
      <c r="K1660" s="88"/>
      <c r="L1660" s="88">
        <v>0</v>
      </c>
      <c r="M1660" s="88"/>
      <c r="N1660" s="91"/>
      <c r="O1660" s="1"/>
      <c r="P1660" s="141"/>
      <c r="Q1660" s="141"/>
      <c r="R1660" s="141">
        <f t="shared" ref="R1660:R1713" si="184">O1660+P1660+Q1660</f>
        <v>0</v>
      </c>
      <c r="S1660" s="109"/>
    </row>
    <row r="1661" spans="1:19" x14ac:dyDescent="0.25">
      <c r="A1661" s="203">
        <f>A1660+1</f>
        <v>3</v>
      </c>
      <c r="B1661" s="182"/>
      <c r="C1661" s="182"/>
      <c r="D1661" s="182"/>
      <c r="E1661" s="182"/>
      <c r="F1661" s="170" t="s">
        <v>1853</v>
      </c>
      <c r="G1661" s="171"/>
      <c r="H1661" s="169"/>
      <c r="I1661" s="169"/>
      <c r="J1661" s="88">
        <v>0.62</v>
      </c>
      <c r="K1661" s="88"/>
      <c r="L1661" s="88">
        <v>0.24299999999999999</v>
      </c>
      <c r="M1661" s="88" t="s">
        <v>1854</v>
      </c>
      <c r="N1661" s="91">
        <v>63</v>
      </c>
      <c r="O1661" s="1">
        <v>8.4147199999999991</v>
      </c>
      <c r="P1661" s="141"/>
      <c r="Q1661" s="141"/>
      <c r="R1661" s="141">
        <f t="shared" si="184"/>
        <v>8.4147199999999991</v>
      </c>
      <c r="S1661" s="2">
        <f t="shared" ref="S1661:S1713" si="185">R1661/(N1661*0.92)</f>
        <v>0.14518150448585229</v>
      </c>
    </row>
    <row r="1662" spans="1:19" x14ac:dyDescent="0.25">
      <c r="A1662" s="201"/>
      <c r="B1662" s="182"/>
      <c r="C1662" s="182"/>
      <c r="D1662" s="182"/>
      <c r="E1662" s="182"/>
      <c r="F1662" s="172"/>
      <c r="G1662" s="173"/>
      <c r="H1662" s="169"/>
      <c r="I1662" s="169"/>
      <c r="J1662" s="88"/>
      <c r="K1662" s="88"/>
      <c r="L1662" s="88"/>
      <c r="M1662" s="88" t="s">
        <v>1855</v>
      </c>
      <c r="N1662" s="91">
        <v>400</v>
      </c>
      <c r="O1662" s="1">
        <v>41.5</v>
      </c>
      <c r="P1662" s="141"/>
      <c r="Q1662" s="141"/>
      <c r="R1662" s="141">
        <f t="shared" si="184"/>
        <v>41.5</v>
      </c>
      <c r="S1662" s="2">
        <f t="shared" si="185"/>
        <v>0.11277173913043478</v>
      </c>
    </row>
    <row r="1663" spans="1:19" x14ac:dyDescent="0.25">
      <c r="A1663" s="202"/>
      <c r="B1663" s="182"/>
      <c r="C1663" s="182"/>
      <c r="D1663" s="182"/>
      <c r="E1663" s="182"/>
      <c r="F1663" s="174"/>
      <c r="G1663" s="175"/>
      <c r="H1663" s="169"/>
      <c r="I1663" s="169"/>
      <c r="J1663" s="88"/>
      <c r="K1663" s="88"/>
      <c r="L1663" s="88"/>
      <c r="M1663" s="88" t="s">
        <v>1856</v>
      </c>
      <c r="N1663" s="91">
        <v>630</v>
      </c>
      <c r="O1663" s="1">
        <v>296.81610000000001</v>
      </c>
      <c r="P1663" s="141"/>
      <c r="Q1663" s="141"/>
      <c r="R1663" s="141">
        <f t="shared" si="184"/>
        <v>296.81610000000001</v>
      </c>
      <c r="S1663" s="2">
        <f t="shared" si="185"/>
        <v>0.51210507246376813</v>
      </c>
    </row>
    <row r="1664" spans="1:19" x14ac:dyDescent="0.25">
      <c r="A1664" s="203">
        <f>A1661+1</f>
        <v>4</v>
      </c>
      <c r="B1664" s="182"/>
      <c r="C1664" s="182"/>
      <c r="D1664" s="182"/>
      <c r="E1664" s="182"/>
      <c r="F1664" s="170" t="s">
        <v>1857</v>
      </c>
      <c r="G1664" s="171"/>
      <c r="H1664" s="169"/>
      <c r="I1664" s="169"/>
      <c r="J1664" s="71">
        <v>2.84</v>
      </c>
      <c r="K1664" s="71"/>
      <c r="L1664" s="71">
        <v>1.9379999999999999</v>
      </c>
      <c r="M1664" s="71" t="s">
        <v>1858</v>
      </c>
      <c r="N1664" s="61">
        <v>630</v>
      </c>
      <c r="O1664" s="110">
        <v>148.90110000000001</v>
      </c>
      <c r="P1664" s="142"/>
      <c r="Q1664" s="142"/>
      <c r="R1664" s="141">
        <f t="shared" si="184"/>
        <v>148.90110000000001</v>
      </c>
      <c r="S1664" s="2">
        <f t="shared" si="185"/>
        <v>0.25690320910973086</v>
      </c>
    </row>
    <row r="1665" spans="1:19" x14ac:dyDescent="0.25">
      <c r="A1665" s="201"/>
      <c r="B1665" s="182"/>
      <c r="C1665" s="182"/>
      <c r="D1665" s="182"/>
      <c r="E1665" s="182"/>
      <c r="F1665" s="172"/>
      <c r="G1665" s="173"/>
      <c r="H1665" s="169"/>
      <c r="I1665" s="169"/>
      <c r="J1665" s="71"/>
      <c r="K1665" s="71"/>
      <c r="L1665" s="71"/>
      <c r="M1665" s="71" t="s">
        <v>1859</v>
      </c>
      <c r="N1665" s="61">
        <v>630</v>
      </c>
      <c r="O1665" s="110">
        <v>232.71960000000001</v>
      </c>
      <c r="P1665" s="142"/>
      <c r="Q1665" s="142"/>
      <c r="R1665" s="141">
        <f t="shared" si="184"/>
        <v>232.71960000000001</v>
      </c>
      <c r="S1665" s="2">
        <f t="shared" si="185"/>
        <v>0.40151759834368533</v>
      </c>
    </row>
    <row r="1666" spans="1:19" x14ac:dyDescent="0.25">
      <c r="A1666" s="201"/>
      <c r="B1666" s="182"/>
      <c r="C1666" s="182"/>
      <c r="D1666" s="182"/>
      <c r="E1666" s="182"/>
      <c r="F1666" s="172"/>
      <c r="G1666" s="173"/>
      <c r="H1666" s="169"/>
      <c r="I1666" s="169"/>
      <c r="J1666" s="71"/>
      <c r="K1666" s="71"/>
      <c r="L1666" s="71"/>
      <c r="M1666" s="71" t="s">
        <v>1860</v>
      </c>
      <c r="N1666" s="61">
        <v>630</v>
      </c>
      <c r="O1666" s="110">
        <v>186.70160000000001</v>
      </c>
      <c r="P1666" s="142"/>
      <c r="Q1666" s="142"/>
      <c r="R1666" s="141">
        <f t="shared" si="184"/>
        <v>186.70160000000001</v>
      </c>
      <c r="S1666" s="2">
        <f t="shared" si="185"/>
        <v>0.32212146307798484</v>
      </c>
    </row>
    <row r="1667" spans="1:19" x14ac:dyDescent="0.25">
      <c r="A1667" s="201"/>
      <c r="B1667" s="182"/>
      <c r="C1667" s="182"/>
      <c r="D1667" s="182"/>
      <c r="E1667" s="182"/>
      <c r="F1667" s="172"/>
      <c r="G1667" s="173"/>
      <c r="H1667" s="169"/>
      <c r="I1667" s="169"/>
      <c r="J1667" s="71"/>
      <c r="K1667" s="71"/>
      <c r="L1667" s="71"/>
      <c r="M1667" s="71" t="s">
        <v>1861</v>
      </c>
      <c r="N1667" s="61">
        <v>400</v>
      </c>
      <c r="O1667" s="110">
        <v>118.33199999999999</v>
      </c>
      <c r="P1667" s="142"/>
      <c r="Q1667" s="142"/>
      <c r="R1667" s="141">
        <f t="shared" si="184"/>
        <v>118.33199999999999</v>
      </c>
      <c r="S1667" s="2">
        <f t="shared" si="185"/>
        <v>0.32155434782608694</v>
      </c>
    </row>
    <row r="1668" spans="1:19" x14ac:dyDescent="0.25">
      <c r="A1668" s="201"/>
      <c r="B1668" s="182"/>
      <c r="C1668" s="182"/>
      <c r="D1668" s="182"/>
      <c r="E1668" s="182"/>
      <c r="F1668" s="172"/>
      <c r="G1668" s="173"/>
      <c r="H1668" s="169"/>
      <c r="I1668" s="169"/>
      <c r="J1668" s="71"/>
      <c r="K1668" s="71"/>
      <c r="L1668" s="71"/>
      <c r="M1668" s="71" t="s">
        <v>1862</v>
      </c>
      <c r="N1668" s="61">
        <v>630</v>
      </c>
      <c r="O1668" s="110">
        <v>250.46940000000001</v>
      </c>
      <c r="P1668" s="142"/>
      <c r="Q1668" s="142"/>
      <c r="R1668" s="141">
        <f t="shared" si="184"/>
        <v>250.46940000000001</v>
      </c>
      <c r="S1668" s="2">
        <f t="shared" si="185"/>
        <v>0.43214182194616979</v>
      </c>
    </row>
    <row r="1669" spans="1:19" x14ac:dyDescent="0.25">
      <c r="A1669" s="201"/>
      <c r="B1669" s="182"/>
      <c r="C1669" s="182"/>
      <c r="D1669" s="182"/>
      <c r="E1669" s="182"/>
      <c r="F1669" s="172"/>
      <c r="G1669" s="173"/>
      <c r="H1669" s="169"/>
      <c r="I1669" s="169"/>
      <c r="J1669" s="71"/>
      <c r="K1669" s="71"/>
      <c r="L1669" s="71"/>
      <c r="M1669" s="71" t="s">
        <v>1863</v>
      </c>
      <c r="N1669" s="61">
        <v>630</v>
      </c>
      <c r="O1669" s="110">
        <v>294.84390000000002</v>
      </c>
      <c r="P1669" s="142"/>
      <c r="Q1669" s="142"/>
      <c r="R1669" s="141">
        <f t="shared" si="184"/>
        <v>294.84390000000002</v>
      </c>
      <c r="S1669" s="2">
        <f t="shared" si="185"/>
        <v>0.50870238095238096</v>
      </c>
    </row>
    <row r="1670" spans="1:19" x14ac:dyDescent="0.25">
      <c r="A1670" s="201"/>
      <c r="B1670" s="182"/>
      <c r="C1670" s="182"/>
      <c r="D1670" s="182"/>
      <c r="E1670" s="182"/>
      <c r="F1670" s="172"/>
      <c r="G1670" s="173"/>
      <c r="H1670" s="169"/>
      <c r="I1670" s="169"/>
      <c r="J1670" s="71"/>
      <c r="K1670" s="71"/>
      <c r="L1670" s="71"/>
      <c r="M1670" s="71" t="s">
        <v>1864</v>
      </c>
      <c r="N1670" s="61">
        <v>630</v>
      </c>
      <c r="O1670" s="110">
        <v>284.32549999999998</v>
      </c>
      <c r="P1670" s="142"/>
      <c r="Q1670" s="142"/>
      <c r="R1670" s="141">
        <f t="shared" si="184"/>
        <v>284.32549999999998</v>
      </c>
      <c r="S1670" s="2">
        <f t="shared" si="185"/>
        <v>0.49055469289164938</v>
      </c>
    </row>
    <row r="1671" spans="1:19" x14ac:dyDescent="0.25">
      <c r="A1671" s="201"/>
      <c r="B1671" s="182"/>
      <c r="C1671" s="182"/>
      <c r="D1671" s="182"/>
      <c r="E1671" s="182"/>
      <c r="F1671" s="172"/>
      <c r="G1671" s="173"/>
      <c r="H1671" s="169"/>
      <c r="I1671" s="169"/>
      <c r="J1671" s="71"/>
      <c r="K1671" s="71"/>
      <c r="L1671" s="71"/>
      <c r="M1671" s="71" t="s">
        <v>1865</v>
      </c>
      <c r="N1671" s="61">
        <v>400</v>
      </c>
      <c r="O1671" s="110">
        <v>111.1006</v>
      </c>
      <c r="P1671" s="142"/>
      <c r="Q1671" s="142"/>
      <c r="R1671" s="141">
        <f t="shared" si="184"/>
        <v>111.1006</v>
      </c>
      <c r="S1671" s="2">
        <f t="shared" si="185"/>
        <v>0.3019038043478261</v>
      </c>
    </row>
    <row r="1672" spans="1:19" x14ac:dyDescent="0.25">
      <c r="A1672" s="201"/>
      <c r="B1672" s="182"/>
      <c r="C1672" s="182"/>
      <c r="D1672" s="182"/>
      <c r="E1672" s="182"/>
      <c r="F1672" s="172"/>
      <c r="G1672" s="173"/>
      <c r="H1672" s="169"/>
      <c r="I1672" s="169"/>
      <c r="J1672" s="71"/>
      <c r="K1672" s="71"/>
      <c r="L1672" s="71"/>
      <c r="M1672" s="71" t="s">
        <v>1866</v>
      </c>
      <c r="N1672" s="61">
        <v>630</v>
      </c>
      <c r="O1672" s="110">
        <v>284.32549999999998</v>
      </c>
      <c r="P1672" s="142"/>
      <c r="Q1672" s="142"/>
      <c r="R1672" s="141">
        <f t="shared" si="184"/>
        <v>284.32549999999998</v>
      </c>
      <c r="S1672" s="2">
        <f t="shared" si="185"/>
        <v>0.49055469289164938</v>
      </c>
    </row>
    <row r="1673" spans="1:19" x14ac:dyDescent="0.25">
      <c r="A1673" s="201"/>
      <c r="B1673" s="182"/>
      <c r="C1673" s="182"/>
      <c r="D1673" s="182"/>
      <c r="E1673" s="182"/>
      <c r="F1673" s="172"/>
      <c r="G1673" s="173"/>
      <c r="H1673" s="169"/>
      <c r="I1673" s="169"/>
      <c r="J1673" s="71"/>
      <c r="K1673" s="71"/>
      <c r="L1673" s="71"/>
      <c r="M1673" s="71" t="s">
        <v>1867</v>
      </c>
      <c r="N1673" s="61">
        <v>630</v>
      </c>
      <c r="O1673" s="110">
        <v>315.55200000000002</v>
      </c>
      <c r="P1673" s="142"/>
      <c r="Q1673" s="142"/>
      <c r="R1673" s="141">
        <f t="shared" si="184"/>
        <v>315.55200000000002</v>
      </c>
      <c r="S1673" s="2">
        <f t="shared" si="185"/>
        <v>0.54443064182194623</v>
      </c>
    </row>
    <row r="1674" spans="1:19" x14ac:dyDescent="0.25">
      <c r="A1674" s="202"/>
      <c r="B1674" s="182"/>
      <c r="C1674" s="182"/>
      <c r="D1674" s="182"/>
      <c r="E1674" s="182"/>
      <c r="F1674" s="174"/>
      <c r="G1674" s="175"/>
      <c r="H1674" s="169"/>
      <c r="I1674" s="169"/>
      <c r="J1674" s="71"/>
      <c r="K1674" s="71"/>
      <c r="L1674" s="71"/>
      <c r="M1674" s="71" t="s">
        <v>1868</v>
      </c>
      <c r="N1674" s="61">
        <v>630</v>
      </c>
      <c r="O1674" s="110">
        <v>302.73270000000002</v>
      </c>
      <c r="P1674" s="142"/>
      <c r="Q1674" s="142"/>
      <c r="R1674" s="141">
        <f t="shared" si="184"/>
        <v>302.73270000000002</v>
      </c>
      <c r="S1674" s="2">
        <f t="shared" si="185"/>
        <v>0.52231314699792963</v>
      </c>
    </row>
    <row r="1675" spans="1:19" x14ac:dyDescent="0.25">
      <c r="A1675" s="203">
        <f>A1664+1</f>
        <v>5</v>
      </c>
      <c r="B1675" s="182"/>
      <c r="C1675" s="182"/>
      <c r="D1675" s="182"/>
      <c r="E1675" s="182"/>
      <c r="F1675" s="170" t="s">
        <v>1869</v>
      </c>
      <c r="G1675" s="171"/>
      <c r="H1675" s="169"/>
      <c r="I1675" s="169"/>
      <c r="J1675" s="88">
        <v>2.02</v>
      </c>
      <c r="K1675" s="88"/>
      <c r="L1675" s="88">
        <v>1.08</v>
      </c>
      <c r="M1675" s="88" t="s">
        <v>1870</v>
      </c>
      <c r="N1675" s="91">
        <v>1000</v>
      </c>
      <c r="O1675" s="1">
        <v>117.6746</v>
      </c>
      <c r="P1675" s="141"/>
      <c r="Q1675" s="141"/>
      <c r="R1675" s="141">
        <f t="shared" si="184"/>
        <v>117.6746</v>
      </c>
      <c r="S1675" s="2">
        <f t="shared" si="185"/>
        <v>0.12790717391304349</v>
      </c>
    </row>
    <row r="1676" spans="1:19" x14ac:dyDescent="0.25">
      <c r="A1676" s="201"/>
      <c r="B1676" s="182"/>
      <c r="C1676" s="182"/>
      <c r="D1676" s="182"/>
      <c r="E1676" s="182"/>
      <c r="F1676" s="172"/>
      <c r="G1676" s="173"/>
      <c r="H1676" s="169"/>
      <c r="I1676" s="169"/>
      <c r="J1676" s="88"/>
      <c r="K1676" s="88"/>
      <c r="L1676" s="88"/>
      <c r="M1676" s="88" t="s">
        <v>1871</v>
      </c>
      <c r="N1676" s="91">
        <v>630</v>
      </c>
      <c r="O1676" s="1">
        <v>272.82100000000003</v>
      </c>
      <c r="P1676" s="141"/>
      <c r="Q1676" s="141"/>
      <c r="R1676" s="141">
        <f t="shared" si="184"/>
        <v>272.82100000000003</v>
      </c>
      <c r="S1676" s="2">
        <f t="shared" si="185"/>
        <v>0.47070565907522433</v>
      </c>
    </row>
    <row r="1677" spans="1:19" x14ac:dyDescent="0.25">
      <c r="A1677" s="201"/>
      <c r="B1677" s="182"/>
      <c r="C1677" s="182"/>
      <c r="D1677" s="182"/>
      <c r="E1677" s="182"/>
      <c r="F1677" s="172"/>
      <c r="G1677" s="173"/>
      <c r="H1677" s="169"/>
      <c r="I1677" s="169"/>
      <c r="J1677" s="88"/>
      <c r="K1677" s="88"/>
      <c r="L1677" s="88"/>
      <c r="M1677" s="88" t="s">
        <v>1872</v>
      </c>
      <c r="N1677" s="91">
        <v>1000</v>
      </c>
      <c r="O1677" s="1">
        <v>192.9469</v>
      </c>
      <c r="P1677" s="141"/>
      <c r="Q1677" s="141"/>
      <c r="R1677" s="141">
        <f t="shared" si="184"/>
        <v>192.9469</v>
      </c>
      <c r="S1677" s="2">
        <f t="shared" si="185"/>
        <v>0.20972489130434782</v>
      </c>
    </row>
    <row r="1678" spans="1:19" x14ac:dyDescent="0.25">
      <c r="A1678" s="201"/>
      <c r="B1678" s="182"/>
      <c r="C1678" s="182"/>
      <c r="D1678" s="182"/>
      <c r="E1678" s="182"/>
      <c r="F1678" s="172"/>
      <c r="G1678" s="173"/>
      <c r="H1678" s="169"/>
      <c r="I1678" s="169"/>
      <c r="J1678" s="88"/>
      <c r="K1678" s="88"/>
      <c r="L1678" s="88"/>
      <c r="M1678" s="88" t="s">
        <v>1873</v>
      </c>
      <c r="N1678" s="91">
        <v>1000</v>
      </c>
      <c r="O1678" s="1">
        <v>795.45400000000006</v>
      </c>
      <c r="P1678" s="141"/>
      <c r="Q1678" s="141"/>
      <c r="R1678" s="141">
        <f t="shared" si="184"/>
        <v>795.45400000000006</v>
      </c>
      <c r="S1678" s="2">
        <f t="shared" si="185"/>
        <v>0.8646239130434783</v>
      </c>
    </row>
    <row r="1679" spans="1:19" x14ac:dyDescent="0.25">
      <c r="A1679" s="201"/>
      <c r="B1679" s="182"/>
      <c r="C1679" s="182"/>
      <c r="D1679" s="182"/>
      <c r="E1679" s="182"/>
      <c r="F1679" s="172"/>
      <c r="G1679" s="173"/>
      <c r="H1679" s="169"/>
      <c r="I1679" s="169"/>
      <c r="J1679" s="88"/>
      <c r="K1679" s="88"/>
      <c r="L1679" s="88"/>
      <c r="M1679" s="88" t="s">
        <v>1874</v>
      </c>
      <c r="N1679" s="91">
        <v>630</v>
      </c>
      <c r="O1679" s="1">
        <v>369.78750000000002</v>
      </c>
      <c r="P1679" s="141"/>
      <c r="Q1679" s="141"/>
      <c r="R1679" s="141">
        <f t="shared" si="184"/>
        <v>369.78750000000002</v>
      </c>
      <c r="S1679" s="2">
        <f t="shared" si="185"/>
        <v>0.63800465838509324</v>
      </c>
    </row>
    <row r="1680" spans="1:19" x14ac:dyDescent="0.25">
      <c r="A1680" s="201"/>
      <c r="B1680" s="182"/>
      <c r="C1680" s="182"/>
      <c r="D1680" s="182"/>
      <c r="E1680" s="182"/>
      <c r="F1680" s="172"/>
      <c r="G1680" s="173"/>
      <c r="H1680" s="169"/>
      <c r="I1680" s="169"/>
      <c r="J1680" s="88"/>
      <c r="K1680" s="88"/>
      <c r="L1680" s="88"/>
      <c r="M1680" s="88" t="s">
        <v>1875</v>
      </c>
      <c r="N1680" s="91">
        <v>630</v>
      </c>
      <c r="O1680" s="1">
        <v>354.00990000000002</v>
      </c>
      <c r="P1680" s="141"/>
      <c r="Q1680" s="141"/>
      <c r="R1680" s="141">
        <f t="shared" si="184"/>
        <v>354.00990000000002</v>
      </c>
      <c r="S1680" s="2">
        <f t="shared" si="185"/>
        <v>0.61078312629399589</v>
      </c>
    </row>
    <row r="1681" spans="1:19" x14ac:dyDescent="0.25">
      <c r="A1681" s="201"/>
      <c r="B1681" s="182"/>
      <c r="C1681" s="182"/>
      <c r="D1681" s="182"/>
      <c r="E1681" s="182"/>
      <c r="F1681" s="172"/>
      <c r="G1681" s="173"/>
      <c r="H1681" s="169"/>
      <c r="I1681" s="169"/>
      <c r="J1681" s="88"/>
      <c r="K1681" s="88"/>
      <c r="L1681" s="88"/>
      <c r="M1681" s="88" t="s">
        <v>1876</v>
      </c>
      <c r="N1681" s="91">
        <v>1000</v>
      </c>
      <c r="O1681" s="1">
        <v>287</v>
      </c>
      <c r="P1681" s="141"/>
      <c r="Q1681" s="141"/>
      <c r="R1681" s="141">
        <f t="shared" si="184"/>
        <v>287</v>
      </c>
      <c r="S1681" s="2">
        <f t="shared" si="185"/>
        <v>0.31195652173913041</v>
      </c>
    </row>
    <row r="1682" spans="1:19" x14ac:dyDescent="0.25">
      <c r="A1682" s="201"/>
      <c r="B1682" s="182"/>
      <c r="C1682" s="182"/>
      <c r="D1682" s="182"/>
      <c r="E1682" s="182"/>
      <c r="F1682" s="172"/>
      <c r="G1682" s="173"/>
      <c r="H1682" s="169"/>
      <c r="I1682" s="169"/>
      <c r="J1682" s="88"/>
      <c r="K1682" s="88"/>
      <c r="L1682" s="88"/>
      <c r="M1682" s="88" t="s">
        <v>1877</v>
      </c>
      <c r="N1682" s="91">
        <v>630</v>
      </c>
      <c r="O1682" s="1">
        <v>212.01150000000001</v>
      </c>
      <c r="P1682" s="141"/>
      <c r="Q1682" s="141"/>
      <c r="R1682" s="141">
        <f t="shared" si="184"/>
        <v>212.01150000000001</v>
      </c>
      <c r="S1682" s="2">
        <f t="shared" si="185"/>
        <v>0.36578933747412007</v>
      </c>
    </row>
    <row r="1683" spans="1:19" x14ac:dyDescent="0.25">
      <c r="A1683" s="202"/>
      <c r="B1683" s="182"/>
      <c r="C1683" s="182"/>
      <c r="D1683" s="182"/>
      <c r="E1683" s="182"/>
      <c r="F1683" s="174"/>
      <c r="G1683" s="175"/>
      <c r="H1683" s="169"/>
      <c r="I1683" s="169"/>
      <c r="J1683" s="88"/>
      <c r="K1683" s="88"/>
      <c r="L1683" s="88"/>
      <c r="M1683" s="88" t="s">
        <v>1878</v>
      </c>
      <c r="N1683" s="91">
        <v>250</v>
      </c>
      <c r="O1683" s="1">
        <v>49.962400000000002</v>
      </c>
      <c r="P1683" s="141"/>
      <c r="Q1683" s="141"/>
      <c r="R1683" s="141">
        <f t="shared" si="184"/>
        <v>49.962400000000002</v>
      </c>
      <c r="S1683" s="2">
        <f t="shared" si="185"/>
        <v>0.21722782608695654</v>
      </c>
    </row>
    <row r="1684" spans="1:19" x14ac:dyDescent="0.25">
      <c r="A1684" s="203">
        <f>A1675+1</f>
        <v>6</v>
      </c>
      <c r="B1684" s="182"/>
      <c r="C1684" s="182"/>
      <c r="D1684" s="182"/>
      <c r="E1684" s="182"/>
      <c r="F1684" s="170" t="s">
        <v>1879</v>
      </c>
      <c r="G1684" s="171"/>
      <c r="H1684" s="169"/>
      <c r="I1684" s="169"/>
      <c r="J1684" s="71">
        <v>4.8499999999999996</v>
      </c>
      <c r="K1684" s="71"/>
      <c r="L1684" s="71">
        <v>1.88</v>
      </c>
      <c r="M1684" s="71" t="s">
        <v>1880</v>
      </c>
      <c r="N1684" s="61">
        <v>630</v>
      </c>
      <c r="O1684" s="110">
        <v>148.90110000000001</v>
      </c>
      <c r="P1684" s="142"/>
      <c r="Q1684" s="142"/>
      <c r="R1684" s="141">
        <f t="shared" si="184"/>
        <v>148.90110000000001</v>
      </c>
      <c r="S1684" s="2">
        <f t="shared" si="185"/>
        <v>0.25690320910973086</v>
      </c>
    </row>
    <row r="1685" spans="1:19" x14ac:dyDescent="0.25">
      <c r="A1685" s="201"/>
      <c r="B1685" s="182"/>
      <c r="C1685" s="182"/>
      <c r="D1685" s="182"/>
      <c r="E1685" s="182"/>
      <c r="F1685" s="172"/>
      <c r="G1685" s="173"/>
      <c r="H1685" s="169"/>
      <c r="I1685" s="169"/>
      <c r="J1685" s="71"/>
      <c r="K1685" s="71"/>
      <c r="L1685" s="71"/>
      <c r="M1685" s="71" t="s">
        <v>1881</v>
      </c>
      <c r="N1685" s="61">
        <v>630</v>
      </c>
      <c r="O1685" s="110">
        <v>232.71960000000001</v>
      </c>
      <c r="P1685" s="142"/>
      <c r="Q1685" s="142"/>
      <c r="R1685" s="141">
        <f t="shared" si="184"/>
        <v>232.71960000000001</v>
      </c>
      <c r="S1685" s="2">
        <f t="shared" si="185"/>
        <v>0.40151759834368533</v>
      </c>
    </row>
    <row r="1686" spans="1:19" x14ac:dyDescent="0.25">
      <c r="A1686" s="201"/>
      <c r="B1686" s="182"/>
      <c r="C1686" s="182"/>
      <c r="D1686" s="182"/>
      <c r="E1686" s="182"/>
      <c r="F1686" s="172"/>
      <c r="G1686" s="173"/>
      <c r="H1686" s="169"/>
      <c r="I1686" s="169"/>
      <c r="J1686" s="71"/>
      <c r="K1686" s="71"/>
      <c r="L1686" s="71"/>
      <c r="M1686" s="71" t="s">
        <v>1882</v>
      </c>
      <c r="N1686" s="61">
        <v>630</v>
      </c>
      <c r="O1686" s="110">
        <v>186.70160000000001</v>
      </c>
      <c r="P1686" s="142"/>
      <c r="Q1686" s="142"/>
      <c r="R1686" s="141">
        <f t="shared" si="184"/>
        <v>186.70160000000001</v>
      </c>
      <c r="S1686" s="2">
        <f t="shared" si="185"/>
        <v>0.32212146307798484</v>
      </c>
    </row>
    <row r="1687" spans="1:19" x14ac:dyDescent="0.25">
      <c r="A1687" s="201"/>
      <c r="B1687" s="182"/>
      <c r="C1687" s="182"/>
      <c r="D1687" s="182"/>
      <c r="E1687" s="182"/>
      <c r="F1687" s="172"/>
      <c r="G1687" s="173"/>
      <c r="H1687" s="169"/>
      <c r="I1687" s="169"/>
      <c r="J1687" s="71"/>
      <c r="K1687" s="71"/>
      <c r="L1687" s="71"/>
      <c r="M1687" s="71" t="s">
        <v>1883</v>
      </c>
      <c r="N1687" s="61">
        <v>400</v>
      </c>
      <c r="O1687" s="110">
        <v>118.33199999999999</v>
      </c>
      <c r="P1687" s="142"/>
      <c r="Q1687" s="142"/>
      <c r="R1687" s="141">
        <f t="shared" si="184"/>
        <v>118.33199999999999</v>
      </c>
      <c r="S1687" s="2">
        <f t="shared" si="185"/>
        <v>0.32155434782608694</v>
      </c>
    </row>
    <row r="1688" spans="1:19" x14ac:dyDescent="0.25">
      <c r="A1688" s="201"/>
      <c r="B1688" s="182"/>
      <c r="C1688" s="182"/>
      <c r="D1688" s="182"/>
      <c r="E1688" s="182"/>
      <c r="F1688" s="172"/>
      <c r="G1688" s="173"/>
      <c r="H1688" s="169"/>
      <c r="I1688" s="169"/>
      <c r="J1688" s="71"/>
      <c r="K1688" s="71"/>
      <c r="L1688" s="71"/>
      <c r="M1688" s="71" t="s">
        <v>1884</v>
      </c>
      <c r="N1688" s="61">
        <v>1000</v>
      </c>
      <c r="O1688" s="110">
        <v>308.97800000000001</v>
      </c>
      <c r="P1688" s="142"/>
      <c r="Q1688" s="142"/>
      <c r="R1688" s="141">
        <f t="shared" si="184"/>
        <v>308.97800000000001</v>
      </c>
      <c r="S1688" s="2">
        <f t="shared" si="185"/>
        <v>0.33584565217391305</v>
      </c>
    </row>
    <row r="1689" spans="1:19" x14ac:dyDescent="0.25">
      <c r="A1689" s="201"/>
      <c r="B1689" s="182"/>
      <c r="C1689" s="182"/>
      <c r="D1689" s="182"/>
      <c r="E1689" s="182"/>
      <c r="F1689" s="172"/>
      <c r="G1689" s="173"/>
      <c r="H1689" s="169"/>
      <c r="I1689" s="169"/>
      <c r="J1689" s="71"/>
      <c r="K1689" s="71"/>
      <c r="L1689" s="71"/>
      <c r="M1689" s="71" t="s">
        <v>1885</v>
      </c>
      <c r="N1689" s="61">
        <v>1000</v>
      </c>
      <c r="O1689" s="110">
        <v>275.12189999999998</v>
      </c>
      <c r="P1689" s="142"/>
      <c r="Q1689" s="142"/>
      <c r="R1689" s="141">
        <f t="shared" si="184"/>
        <v>275.12189999999998</v>
      </c>
      <c r="S1689" s="2">
        <f t="shared" si="185"/>
        <v>0.29904554347826084</v>
      </c>
    </row>
    <row r="1690" spans="1:19" x14ac:dyDescent="0.25">
      <c r="A1690" s="201"/>
      <c r="B1690" s="182"/>
      <c r="C1690" s="182"/>
      <c r="D1690" s="182"/>
      <c r="E1690" s="182"/>
      <c r="F1690" s="172"/>
      <c r="G1690" s="173"/>
      <c r="H1690" s="169"/>
      <c r="I1690" s="169"/>
      <c r="J1690" s="71"/>
      <c r="K1690" s="71"/>
      <c r="L1690" s="71"/>
      <c r="M1690" s="71" t="s">
        <v>1886</v>
      </c>
      <c r="N1690" s="61">
        <v>630</v>
      </c>
      <c r="O1690" s="110">
        <v>391.15300000000002</v>
      </c>
      <c r="P1690" s="142"/>
      <c r="Q1690" s="142"/>
      <c r="R1690" s="141">
        <f t="shared" si="184"/>
        <v>391.15300000000002</v>
      </c>
      <c r="S1690" s="2">
        <f t="shared" si="185"/>
        <v>0.67486714975845408</v>
      </c>
    </row>
    <row r="1691" spans="1:19" x14ac:dyDescent="0.25">
      <c r="A1691" s="201"/>
      <c r="B1691" s="182"/>
      <c r="C1691" s="182"/>
      <c r="D1691" s="182"/>
      <c r="E1691" s="182"/>
      <c r="F1691" s="172"/>
      <c r="G1691" s="173"/>
      <c r="H1691" s="169"/>
      <c r="I1691" s="169"/>
      <c r="J1691" s="71"/>
      <c r="K1691" s="71"/>
      <c r="L1691" s="71"/>
      <c r="M1691" s="71" t="s">
        <v>1887</v>
      </c>
      <c r="N1691" s="61">
        <v>630</v>
      </c>
      <c r="O1691" s="110">
        <v>240.60839999999999</v>
      </c>
      <c r="P1691" s="142"/>
      <c r="Q1691" s="142"/>
      <c r="R1691" s="141">
        <f t="shared" si="184"/>
        <v>240.60839999999999</v>
      </c>
      <c r="S1691" s="2">
        <f t="shared" si="185"/>
        <v>0.41512836438923389</v>
      </c>
    </row>
    <row r="1692" spans="1:19" x14ac:dyDescent="0.25">
      <c r="A1692" s="201"/>
      <c r="B1692" s="182"/>
      <c r="C1692" s="182"/>
      <c r="D1692" s="182"/>
      <c r="E1692" s="182"/>
      <c r="F1692" s="172"/>
      <c r="G1692" s="173"/>
      <c r="H1692" s="169"/>
      <c r="I1692" s="169"/>
      <c r="J1692" s="71"/>
      <c r="K1692" s="71"/>
      <c r="L1692" s="71"/>
      <c r="M1692" s="71" t="s">
        <v>1888</v>
      </c>
      <c r="N1692" s="61">
        <v>400</v>
      </c>
      <c r="O1692" s="110">
        <v>306.0197</v>
      </c>
      <c r="P1692" s="142"/>
      <c r="Q1692" s="142"/>
      <c r="R1692" s="141">
        <f t="shared" si="184"/>
        <v>306.0197</v>
      </c>
      <c r="S1692" s="2">
        <f t="shared" si="185"/>
        <v>0.83157527173913048</v>
      </c>
    </row>
    <row r="1693" spans="1:19" x14ac:dyDescent="0.25">
      <c r="A1693" s="201"/>
      <c r="B1693" s="182"/>
      <c r="C1693" s="182"/>
      <c r="D1693" s="182"/>
      <c r="E1693" s="182"/>
      <c r="F1693" s="172"/>
      <c r="G1693" s="173"/>
      <c r="H1693" s="169"/>
      <c r="I1693" s="169"/>
      <c r="J1693" s="71"/>
      <c r="K1693" s="71"/>
      <c r="L1693" s="71"/>
      <c r="M1693" s="71" t="s">
        <v>1889</v>
      </c>
      <c r="N1693" s="61">
        <v>1000</v>
      </c>
      <c r="O1693" s="110">
        <v>213.655</v>
      </c>
      <c r="P1693" s="142"/>
      <c r="Q1693" s="142"/>
      <c r="R1693" s="141">
        <f t="shared" si="184"/>
        <v>213.655</v>
      </c>
      <c r="S1693" s="2">
        <f t="shared" si="185"/>
        <v>0.23223369565217392</v>
      </c>
    </row>
    <row r="1694" spans="1:19" x14ac:dyDescent="0.25">
      <c r="A1694" s="201"/>
      <c r="B1694" s="182"/>
      <c r="C1694" s="182"/>
      <c r="D1694" s="182"/>
      <c r="E1694" s="182"/>
      <c r="F1694" s="172"/>
      <c r="G1694" s="173"/>
      <c r="H1694" s="169"/>
      <c r="I1694" s="169"/>
      <c r="J1694" s="71"/>
      <c r="K1694" s="71"/>
      <c r="L1694" s="71"/>
      <c r="M1694" s="71" t="s">
        <v>1890</v>
      </c>
      <c r="N1694" s="61">
        <v>630</v>
      </c>
      <c r="O1694" s="110">
        <v>250.46940000000001</v>
      </c>
      <c r="P1694" s="142"/>
      <c r="Q1694" s="142"/>
      <c r="R1694" s="141">
        <f t="shared" si="184"/>
        <v>250.46940000000001</v>
      </c>
      <c r="S1694" s="2">
        <f t="shared" si="185"/>
        <v>0.43214182194616979</v>
      </c>
    </row>
    <row r="1695" spans="1:19" x14ac:dyDescent="0.25">
      <c r="A1695" s="201"/>
      <c r="B1695" s="182"/>
      <c r="C1695" s="182"/>
      <c r="D1695" s="182"/>
      <c r="E1695" s="182"/>
      <c r="F1695" s="172"/>
      <c r="G1695" s="173"/>
      <c r="H1695" s="169"/>
      <c r="I1695" s="169"/>
      <c r="J1695" s="71"/>
      <c r="K1695" s="71"/>
      <c r="L1695" s="71"/>
      <c r="M1695" s="71" t="s">
        <v>1891</v>
      </c>
      <c r="N1695" s="61">
        <v>630</v>
      </c>
      <c r="O1695" s="110">
        <v>294.84390000000002</v>
      </c>
      <c r="P1695" s="142"/>
      <c r="Q1695" s="142"/>
      <c r="R1695" s="141">
        <f t="shared" si="184"/>
        <v>294.84390000000002</v>
      </c>
      <c r="S1695" s="2">
        <f t="shared" si="185"/>
        <v>0.50870238095238096</v>
      </c>
    </row>
    <row r="1696" spans="1:19" x14ac:dyDescent="0.25">
      <c r="A1696" s="201"/>
      <c r="B1696" s="182"/>
      <c r="C1696" s="182"/>
      <c r="D1696" s="182"/>
      <c r="E1696" s="182"/>
      <c r="F1696" s="172"/>
      <c r="G1696" s="173"/>
      <c r="H1696" s="169"/>
      <c r="I1696" s="169"/>
      <c r="J1696" s="71"/>
      <c r="K1696" s="71"/>
      <c r="L1696" s="71"/>
      <c r="M1696" s="71" t="s">
        <v>1892</v>
      </c>
      <c r="N1696" s="61">
        <v>630</v>
      </c>
      <c r="O1696" s="110">
        <v>284.32549999999998</v>
      </c>
      <c r="P1696" s="142"/>
      <c r="Q1696" s="142"/>
      <c r="R1696" s="141">
        <f t="shared" si="184"/>
        <v>284.32549999999998</v>
      </c>
      <c r="S1696" s="2">
        <f t="shared" si="185"/>
        <v>0.49055469289164938</v>
      </c>
    </row>
    <row r="1697" spans="1:19" x14ac:dyDescent="0.25">
      <c r="A1697" s="201"/>
      <c r="B1697" s="182"/>
      <c r="C1697" s="182"/>
      <c r="D1697" s="182"/>
      <c r="E1697" s="182"/>
      <c r="F1697" s="172"/>
      <c r="G1697" s="173"/>
      <c r="H1697" s="169"/>
      <c r="I1697" s="169"/>
      <c r="J1697" s="71"/>
      <c r="K1697" s="71"/>
      <c r="L1697" s="71"/>
      <c r="M1697" s="71" t="s">
        <v>1893</v>
      </c>
      <c r="N1697" s="61">
        <v>400</v>
      </c>
      <c r="O1697" s="110">
        <v>111.1006</v>
      </c>
      <c r="P1697" s="142"/>
      <c r="Q1697" s="142"/>
      <c r="R1697" s="141">
        <f t="shared" si="184"/>
        <v>111.1006</v>
      </c>
      <c r="S1697" s="2">
        <f t="shared" si="185"/>
        <v>0.3019038043478261</v>
      </c>
    </row>
    <row r="1698" spans="1:19" x14ac:dyDescent="0.25">
      <c r="A1698" s="201"/>
      <c r="B1698" s="182"/>
      <c r="C1698" s="182"/>
      <c r="D1698" s="182"/>
      <c r="E1698" s="182"/>
      <c r="F1698" s="172"/>
      <c r="G1698" s="173"/>
      <c r="H1698" s="169"/>
      <c r="I1698" s="169"/>
      <c r="J1698" s="88"/>
      <c r="K1698" s="88"/>
      <c r="L1698" s="88"/>
      <c r="M1698" s="71" t="s">
        <v>1894</v>
      </c>
      <c r="N1698" s="61">
        <v>400</v>
      </c>
      <c r="O1698" s="110">
        <v>80</v>
      </c>
      <c r="P1698" s="142"/>
      <c r="Q1698" s="142"/>
      <c r="R1698" s="141">
        <f t="shared" si="184"/>
        <v>80</v>
      </c>
      <c r="S1698" s="2">
        <f t="shared" si="185"/>
        <v>0.21739130434782608</v>
      </c>
    </row>
    <row r="1699" spans="1:19" x14ac:dyDescent="0.25">
      <c r="A1699" s="201"/>
      <c r="B1699" s="182"/>
      <c r="C1699" s="182"/>
      <c r="D1699" s="182"/>
      <c r="E1699" s="182"/>
      <c r="F1699" s="172"/>
      <c r="G1699" s="173"/>
      <c r="H1699" s="169"/>
      <c r="I1699" s="169"/>
      <c r="J1699" s="88"/>
      <c r="K1699" s="88"/>
      <c r="L1699" s="88"/>
      <c r="M1699" s="88" t="s">
        <v>1895</v>
      </c>
      <c r="N1699" s="91">
        <v>630</v>
      </c>
      <c r="O1699" s="1">
        <v>284.32549999999998</v>
      </c>
      <c r="P1699" s="141"/>
      <c r="Q1699" s="141"/>
      <c r="R1699" s="141">
        <f t="shared" si="184"/>
        <v>284.32549999999998</v>
      </c>
      <c r="S1699" s="2">
        <f t="shared" si="185"/>
        <v>0.49055469289164938</v>
      </c>
    </row>
    <row r="1700" spans="1:19" x14ac:dyDescent="0.25">
      <c r="A1700" s="201"/>
      <c r="B1700" s="182"/>
      <c r="C1700" s="182"/>
      <c r="D1700" s="182"/>
      <c r="E1700" s="182"/>
      <c r="F1700" s="172"/>
      <c r="G1700" s="173"/>
      <c r="H1700" s="169"/>
      <c r="I1700" s="169"/>
      <c r="J1700" s="88"/>
      <c r="K1700" s="88"/>
      <c r="L1700" s="88"/>
      <c r="M1700" s="88" t="s">
        <v>1896</v>
      </c>
      <c r="N1700" s="91">
        <v>630</v>
      </c>
      <c r="O1700" s="1">
        <v>315.55200000000002</v>
      </c>
      <c r="P1700" s="141"/>
      <c r="Q1700" s="141"/>
      <c r="R1700" s="141">
        <f t="shared" si="184"/>
        <v>315.55200000000002</v>
      </c>
      <c r="S1700" s="2">
        <f t="shared" si="185"/>
        <v>0.54443064182194623</v>
      </c>
    </row>
    <row r="1701" spans="1:19" x14ac:dyDescent="0.25">
      <c r="A1701" s="202"/>
      <c r="B1701" s="182"/>
      <c r="C1701" s="182"/>
      <c r="D1701" s="182"/>
      <c r="E1701" s="182"/>
      <c r="F1701" s="174"/>
      <c r="G1701" s="175"/>
      <c r="H1701" s="169"/>
      <c r="I1701" s="169"/>
      <c r="J1701" s="88"/>
      <c r="K1701" s="88"/>
      <c r="L1701" s="88"/>
      <c r="M1701" s="88" t="s">
        <v>1897</v>
      </c>
      <c r="N1701" s="91">
        <v>630</v>
      </c>
      <c r="O1701" s="1">
        <v>302.73270000000002</v>
      </c>
      <c r="P1701" s="141"/>
      <c r="Q1701" s="141"/>
      <c r="R1701" s="141">
        <f t="shared" si="184"/>
        <v>302.73270000000002</v>
      </c>
      <c r="S1701" s="2">
        <f t="shared" si="185"/>
        <v>0.52231314699792963</v>
      </c>
    </row>
    <row r="1702" spans="1:19" x14ac:dyDescent="0.25">
      <c r="A1702" s="203">
        <f>A1684+1</f>
        <v>7</v>
      </c>
      <c r="B1702" s="182"/>
      <c r="C1702" s="182"/>
      <c r="D1702" s="182"/>
      <c r="E1702" s="182"/>
      <c r="F1702" s="170" t="s">
        <v>1898</v>
      </c>
      <c r="G1702" s="171"/>
      <c r="H1702" s="169"/>
      <c r="I1702" s="169"/>
      <c r="J1702" s="88">
        <v>3.01</v>
      </c>
      <c r="K1702" s="88"/>
      <c r="L1702" s="88">
        <v>1.6519999999999999</v>
      </c>
      <c r="M1702" s="88" t="s">
        <v>1899</v>
      </c>
      <c r="N1702" s="91">
        <v>1000</v>
      </c>
      <c r="O1702" s="1">
        <v>117.6746</v>
      </c>
      <c r="P1702" s="141"/>
      <c r="Q1702" s="141"/>
      <c r="R1702" s="141">
        <f t="shared" si="184"/>
        <v>117.6746</v>
      </c>
      <c r="S1702" s="2">
        <f t="shared" si="185"/>
        <v>0.12790717391304349</v>
      </c>
    </row>
    <row r="1703" spans="1:19" x14ac:dyDescent="0.25">
      <c r="A1703" s="201"/>
      <c r="B1703" s="182"/>
      <c r="C1703" s="182"/>
      <c r="D1703" s="182"/>
      <c r="E1703" s="182"/>
      <c r="F1703" s="172"/>
      <c r="G1703" s="173"/>
      <c r="H1703" s="169"/>
      <c r="I1703" s="169"/>
      <c r="J1703" s="88"/>
      <c r="K1703" s="88"/>
      <c r="L1703" s="88"/>
      <c r="M1703" s="88" t="s">
        <v>1900</v>
      </c>
      <c r="N1703" s="91">
        <v>630</v>
      </c>
      <c r="O1703" s="1">
        <v>272.82100000000003</v>
      </c>
      <c r="P1703" s="141"/>
      <c r="Q1703" s="141"/>
      <c r="R1703" s="141">
        <f t="shared" si="184"/>
        <v>272.82100000000003</v>
      </c>
      <c r="S1703" s="2">
        <f t="shared" si="185"/>
        <v>0.47070565907522433</v>
      </c>
    </row>
    <row r="1704" spans="1:19" x14ac:dyDescent="0.25">
      <c r="A1704" s="201"/>
      <c r="B1704" s="182"/>
      <c r="C1704" s="182"/>
      <c r="D1704" s="182"/>
      <c r="E1704" s="182"/>
      <c r="F1704" s="172"/>
      <c r="G1704" s="173"/>
      <c r="H1704" s="169"/>
      <c r="I1704" s="169"/>
      <c r="J1704" s="88"/>
      <c r="K1704" s="88"/>
      <c r="L1704" s="88"/>
      <c r="M1704" s="88" t="s">
        <v>1901</v>
      </c>
      <c r="N1704" s="91">
        <v>1000</v>
      </c>
      <c r="O1704" s="1">
        <v>192.9469</v>
      </c>
      <c r="P1704" s="141"/>
      <c r="Q1704" s="141"/>
      <c r="R1704" s="141">
        <f t="shared" si="184"/>
        <v>192.9469</v>
      </c>
      <c r="S1704" s="2">
        <f t="shared" si="185"/>
        <v>0.20972489130434782</v>
      </c>
    </row>
    <row r="1705" spans="1:19" x14ac:dyDescent="0.25">
      <c r="A1705" s="201"/>
      <c r="B1705" s="182"/>
      <c r="C1705" s="182"/>
      <c r="D1705" s="182"/>
      <c r="E1705" s="182"/>
      <c r="F1705" s="172"/>
      <c r="G1705" s="173"/>
      <c r="H1705" s="169"/>
      <c r="I1705" s="169"/>
      <c r="J1705" s="88"/>
      <c r="K1705" s="88"/>
      <c r="L1705" s="88"/>
      <c r="M1705" s="88" t="s">
        <v>1902</v>
      </c>
      <c r="N1705" s="91">
        <v>1000</v>
      </c>
      <c r="O1705" s="1">
        <v>795.45400000000006</v>
      </c>
      <c r="P1705" s="141"/>
      <c r="Q1705" s="141"/>
      <c r="R1705" s="141">
        <f t="shared" si="184"/>
        <v>795.45400000000006</v>
      </c>
      <c r="S1705" s="2">
        <f t="shared" si="185"/>
        <v>0.8646239130434783</v>
      </c>
    </row>
    <row r="1706" spans="1:19" x14ac:dyDescent="0.25">
      <c r="A1706" s="201"/>
      <c r="B1706" s="182"/>
      <c r="C1706" s="182"/>
      <c r="D1706" s="182"/>
      <c r="E1706" s="182"/>
      <c r="F1706" s="172"/>
      <c r="G1706" s="173"/>
      <c r="H1706" s="169"/>
      <c r="I1706" s="169"/>
      <c r="J1706" s="88"/>
      <c r="K1706" s="88"/>
      <c r="L1706" s="88"/>
      <c r="M1706" s="88" t="s">
        <v>1903</v>
      </c>
      <c r="N1706" s="91">
        <v>630</v>
      </c>
      <c r="O1706" s="1">
        <v>369.78750000000002</v>
      </c>
      <c r="P1706" s="141"/>
      <c r="Q1706" s="141"/>
      <c r="R1706" s="141">
        <f t="shared" si="184"/>
        <v>369.78750000000002</v>
      </c>
      <c r="S1706" s="2">
        <f t="shared" si="185"/>
        <v>0.63800465838509324</v>
      </c>
    </row>
    <row r="1707" spans="1:19" x14ac:dyDescent="0.25">
      <c r="A1707" s="201"/>
      <c r="B1707" s="182"/>
      <c r="C1707" s="182"/>
      <c r="D1707" s="182"/>
      <c r="E1707" s="182"/>
      <c r="F1707" s="172"/>
      <c r="G1707" s="173"/>
      <c r="H1707" s="169"/>
      <c r="I1707" s="169"/>
      <c r="J1707" s="88"/>
      <c r="K1707" s="88"/>
      <c r="L1707" s="88"/>
      <c r="M1707" s="88" t="s">
        <v>1904</v>
      </c>
      <c r="N1707" s="91">
        <v>630</v>
      </c>
      <c r="O1707" s="1">
        <v>354.00990000000002</v>
      </c>
      <c r="P1707" s="141"/>
      <c r="Q1707" s="141"/>
      <c r="R1707" s="141">
        <f t="shared" si="184"/>
        <v>354.00990000000002</v>
      </c>
      <c r="S1707" s="2">
        <f t="shared" si="185"/>
        <v>0.61078312629399589</v>
      </c>
    </row>
    <row r="1708" spans="1:19" x14ac:dyDescent="0.25">
      <c r="A1708" s="201"/>
      <c r="B1708" s="182"/>
      <c r="C1708" s="182"/>
      <c r="D1708" s="182"/>
      <c r="E1708" s="182"/>
      <c r="F1708" s="172"/>
      <c r="G1708" s="173"/>
      <c r="H1708" s="169"/>
      <c r="I1708" s="169"/>
      <c r="J1708" s="88"/>
      <c r="K1708" s="88"/>
      <c r="L1708" s="88"/>
      <c r="M1708" s="88" t="s">
        <v>1905</v>
      </c>
      <c r="N1708" s="91">
        <v>1000</v>
      </c>
      <c r="O1708" s="1">
        <v>287</v>
      </c>
      <c r="P1708" s="141"/>
      <c r="Q1708" s="141"/>
      <c r="R1708" s="141">
        <f t="shared" si="184"/>
        <v>287</v>
      </c>
      <c r="S1708" s="2">
        <f t="shared" si="185"/>
        <v>0.31195652173913041</v>
      </c>
    </row>
    <row r="1709" spans="1:19" x14ac:dyDescent="0.25">
      <c r="A1709" s="201"/>
      <c r="B1709" s="182"/>
      <c r="C1709" s="182"/>
      <c r="D1709" s="182"/>
      <c r="E1709" s="182"/>
      <c r="F1709" s="172"/>
      <c r="G1709" s="173"/>
      <c r="H1709" s="169"/>
      <c r="I1709" s="169"/>
      <c r="J1709" s="88"/>
      <c r="K1709" s="88"/>
      <c r="L1709" s="88"/>
      <c r="M1709" s="88" t="s">
        <v>1906</v>
      </c>
      <c r="N1709" s="91">
        <v>630</v>
      </c>
      <c r="O1709" s="1">
        <v>212.01150000000001</v>
      </c>
      <c r="P1709" s="141"/>
      <c r="Q1709" s="141"/>
      <c r="R1709" s="141">
        <f t="shared" si="184"/>
        <v>212.01150000000001</v>
      </c>
      <c r="S1709" s="2">
        <f t="shared" si="185"/>
        <v>0.36578933747412007</v>
      </c>
    </row>
    <row r="1710" spans="1:19" x14ac:dyDescent="0.25">
      <c r="A1710" s="202"/>
      <c r="B1710" s="182"/>
      <c r="C1710" s="182"/>
      <c r="D1710" s="182"/>
      <c r="E1710" s="182"/>
      <c r="F1710" s="174"/>
      <c r="G1710" s="175"/>
      <c r="H1710" s="169"/>
      <c r="I1710" s="169"/>
      <c r="J1710" s="88"/>
      <c r="K1710" s="88"/>
      <c r="L1710" s="88"/>
      <c r="M1710" s="88" t="s">
        <v>1907</v>
      </c>
      <c r="N1710" s="91">
        <v>250</v>
      </c>
      <c r="O1710" s="1">
        <v>49.962400000000002</v>
      </c>
      <c r="P1710" s="141"/>
      <c r="Q1710" s="141"/>
      <c r="R1710" s="141">
        <f t="shared" si="184"/>
        <v>49.962400000000002</v>
      </c>
      <c r="S1710" s="2">
        <f t="shared" si="185"/>
        <v>0.21722782608695654</v>
      </c>
    </row>
    <row r="1711" spans="1:19" x14ac:dyDescent="0.25">
      <c r="A1711" s="203">
        <f>A1702+1</f>
        <v>8</v>
      </c>
      <c r="B1711" s="182"/>
      <c r="C1711" s="182"/>
      <c r="D1711" s="182"/>
      <c r="E1711" s="182"/>
      <c r="F1711" s="170" t="s">
        <v>1908</v>
      </c>
      <c r="G1711" s="171"/>
      <c r="H1711" s="169"/>
      <c r="I1711" s="169"/>
      <c r="J1711" s="88">
        <v>0.49</v>
      </c>
      <c r="K1711" s="88"/>
      <c r="L1711" s="88">
        <v>0.53</v>
      </c>
      <c r="M1711" s="88" t="s">
        <v>1909</v>
      </c>
      <c r="N1711" s="91">
        <v>250</v>
      </c>
      <c r="O1711" s="1">
        <v>33.658879999999996</v>
      </c>
      <c r="P1711" s="141"/>
      <c r="Q1711" s="141"/>
      <c r="R1711" s="141">
        <f t="shared" si="184"/>
        <v>33.658879999999996</v>
      </c>
      <c r="S1711" s="2">
        <f t="shared" si="185"/>
        <v>0.14634295652173912</v>
      </c>
    </row>
    <row r="1712" spans="1:19" x14ac:dyDescent="0.25">
      <c r="A1712" s="201"/>
      <c r="B1712" s="182"/>
      <c r="C1712" s="182"/>
      <c r="D1712" s="182"/>
      <c r="E1712" s="182"/>
      <c r="F1712" s="172"/>
      <c r="G1712" s="173"/>
      <c r="H1712" s="169"/>
      <c r="I1712" s="169"/>
      <c r="J1712" s="88"/>
      <c r="K1712" s="88"/>
      <c r="L1712" s="88"/>
      <c r="M1712" s="88" t="s">
        <v>1910</v>
      </c>
      <c r="N1712" s="91">
        <v>400</v>
      </c>
      <c r="O1712" s="1">
        <v>41.5</v>
      </c>
      <c r="P1712" s="141"/>
      <c r="Q1712" s="141"/>
      <c r="R1712" s="141">
        <f t="shared" si="184"/>
        <v>41.5</v>
      </c>
      <c r="S1712" s="2">
        <f t="shared" si="185"/>
        <v>0.11277173913043478</v>
      </c>
    </row>
    <row r="1713" spans="1:19" x14ac:dyDescent="0.25">
      <c r="A1713" s="202"/>
      <c r="B1713" s="183"/>
      <c r="C1713" s="183"/>
      <c r="D1713" s="183"/>
      <c r="E1713" s="183"/>
      <c r="F1713" s="174"/>
      <c r="G1713" s="175"/>
      <c r="H1713" s="169"/>
      <c r="I1713" s="169"/>
      <c r="J1713" s="88"/>
      <c r="K1713" s="88"/>
      <c r="L1713" s="88"/>
      <c r="M1713" s="88" t="s">
        <v>1911</v>
      </c>
      <c r="N1713" s="91">
        <v>630</v>
      </c>
      <c r="O1713" s="1">
        <v>296.81610000000001</v>
      </c>
      <c r="P1713" s="141"/>
      <c r="Q1713" s="141"/>
      <c r="R1713" s="141">
        <f t="shared" si="184"/>
        <v>296.81610000000001</v>
      </c>
      <c r="S1713" s="2">
        <f t="shared" si="185"/>
        <v>0.51210507246376813</v>
      </c>
    </row>
    <row r="1714" spans="1:19" hidden="1" x14ac:dyDescent="0.25">
      <c r="A1714" s="89"/>
      <c r="B1714" s="237" t="s">
        <v>1912</v>
      </c>
      <c r="C1714" s="237"/>
      <c r="D1714" s="237"/>
      <c r="E1714" s="237"/>
      <c r="F1714" s="237"/>
      <c r="G1714" s="237"/>
      <c r="H1714" s="237"/>
      <c r="I1714" s="237"/>
      <c r="J1714" s="148">
        <f>SUM(J1659:J1711)</f>
        <v>13.83</v>
      </c>
      <c r="K1714" s="149"/>
      <c r="L1714" s="149">
        <f>SUM(L1659:L1711)</f>
        <v>7.3230000000000004</v>
      </c>
      <c r="M1714" s="149"/>
      <c r="N1714" s="150"/>
      <c r="O1714" s="150"/>
      <c r="P1714" s="151"/>
      <c r="Q1714" s="151"/>
      <c r="R1714" s="151"/>
      <c r="S1714" s="152"/>
    </row>
    <row r="1715" spans="1:19" x14ac:dyDescent="0.25">
      <c r="A1715" s="169">
        <f>A1711+1</f>
        <v>9</v>
      </c>
      <c r="B1715" s="181" t="s">
        <v>1849</v>
      </c>
      <c r="C1715" s="181" t="s">
        <v>1913</v>
      </c>
      <c r="D1715" s="181" t="s">
        <v>3</v>
      </c>
      <c r="E1715" s="181"/>
      <c r="F1715" s="170" t="s">
        <v>1914</v>
      </c>
      <c r="G1715" s="171"/>
      <c r="H1715" s="170" t="s">
        <v>709</v>
      </c>
      <c r="I1715" s="171"/>
      <c r="J1715" s="88">
        <v>5.71</v>
      </c>
      <c r="K1715" s="88"/>
      <c r="L1715" s="88">
        <v>3.661</v>
      </c>
      <c r="M1715" s="88" t="s">
        <v>1915</v>
      </c>
      <c r="N1715" s="91">
        <v>2500</v>
      </c>
      <c r="O1715" s="1">
        <v>650</v>
      </c>
      <c r="P1715" s="141"/>
      <c r="Q1715" s="141"/>
      <c r="R1715" s="141">
        <f>O1715+P1715+Q1715</f>
        <v>650</v>
      </c>
      <c r="S1715" s="2">
        <f t="shared" ref="S1715:S1716" si="186">R1715/(N1715*0.92)</f>
        <v>0.28260869565217389</v>
      </c>
    </row>
    <row r="1716" spans="1:19" x14ac:dyDescent="0.25">
      <c r="A1716" s="169"/>
      <c r="B1716" s="182"/>
      <c r="C1716" s="182"/>
      <c r="D1716" s="182"/>
      <c r="E1716" s="182"/>
      <c r="F1716" s="174"/>
      <c r="G1716" s="175"/>
      <c r="H1716" s="172"/>
      <c r="I1716" s="173"/>
      <c r="J1716" s="88"/>
      <c r="K1716" s="88"/>
      <c r="L1716" s="88"/>
      <c r="M1716" s="88" t="s">
        <v>1916</v>
      </c>
      <c r="N1716" s="88">
        <v>10000</v>
      </c>
      <c r="O1716" s="88">
        <v>3127.5</v>
      </c>
      <c r="P1716" s="96"/>
      <c r="Q1716" s="96"/>
      <c r="R1716" s="141">
        <f t="shared" ref="R1716:R1779" si="187">O1716+P1716+Q1716</f>
        <v>3127.5</v>
      </c>
      <c r="S1716" s="2">
        <f t="shared" si="186"/>
        <v>0.33994565217391304</v>
      </c>
    </row>
    <row r="1717" spans="1:19" hidden="1" x14ac:dyDescent="0.25">
      <c r="A1717" s="169">
        <f>A1715+1</f>
        <v>10</v>
      </c>
      <c r="B1717" s="182"/>
      <c r="C1717" s="182"/>
      <c r="D1717" s="182"/>
      <c r="E1717" s="182"/>
      <c r="F1717" s="170" t="s">
        <v>1917</v>
      </c>
      <c r="G1717" s="171"/>
      <c r="H1717" s="172"/>
      <c r="I1717" s="173"/>
      <c r="J1717" s="71"/>
      <c r="K1717" s="71"/>
      <c r="L1717" s="71"/>
      <c r="M1717" s="71" t="s">
        <v>1918</v>
      </c>
      <c r="N1717" s="71"/>
      <c r="O1717" s="71"/>
      <c r="P1717" s="97"/>
      <c r="Q1717" s="97"/>
      <c r="R1717" s="141">
        <f t="shared" si="187"/>
        <v>0</v>
      </c>
      <c r="S1717" s="112"/>
    </row>
    <row r="1718" spans="1:19" x14ac:dyDescent="0.25">
      <c r="A1718" s="169"/>
      <c r="B1718" s="182"/>
      <c r="C1718" s="182"/>
      <c r="D1718" s="182"/>
      <c r="E1718" s="182"/>
      <c r="F1718" s="172"/>
      <c r="G1718" s="173"/>
      <c r="H1718" s="172"/>
      <c r="I1718" s="173"/>
      <c r="J1718" s="71"/>
      <c r="K1718" s="71"/>
      <c r="L1718" s="71"/>
      <c r="M1718" s="71" t="s">
        <v>1919</v>
      </c>
      <c r="N1718" s="71">
        <v>630</v>
      </c>
      <c r="O1718" s="71">
        <v>59</v>
      </c>
      <c r="P1718" s="97"/>
      <c r="Q1718" s="97"/>
      <c r="R1718" s="141">
        <f t="shared" si="187"/>
        <v>59</v>
      </c>
      <c r="S1718" s="2">
        <f t="shared" ref="S1718:S1728" si="188">R1718/(N1718*0.92)</f>
        <v>0.1017943409247757</v>
      </c>
    </row>
    <row r="1719" spans="1:19" x14ac:dyDescent="0.25">
      <c r="A1719" s="169"/>
      <c r="B1719" s="182"/>
      <c r="C1719" s="182"/>
      <c r="D1719" s="182"/>
      <c r="E1719" s="182"/>
      <c r="F1719" s="172"/>
      <c r="G1719" s="173"/>
      <c r="H1719" s="172"/>
      <c r="I1719" s="173"/>
      <c r="J1719" s="71"/>
      <c r="K1719" s="71"/>
      <c r="L1719" s="71"/>
      <c r="M1719" s="71" t="s">
        <v>1920</v>
      </c>
      <c r="N1719" s="71">
        <v>630</v>
      </c>
      <c r="O1719" s="71">
        <v>29</v>
      </c>
      <c r="P1719" s="97"/>
      <c r="Q1719" s="97"/>
      <c r="R1719" s="141">
        <f t="shared" si="187"/>
        <v>29</v>
      </c>
      <c r="S1719" s="2">
        <f t="shared" si="188"/>
        <v>5.0034506556245688E-2</v>
      </c>
    </row>
    <row r="1720" spans="1:19" x14ac:dyDescent="0.25">
      <c r="A1720" s="169"/>
      <c r="B1720" s="182"/>
      <c r="C1720" s="182"/>
      <c r="D1720" s="182"/>
      <c r="E1720" s="182"/>
      <c r="F1720" s="172"/>
      <c r="G1720" s="173"/>
      <c r="H1720" s="172"/>
      <c r="I1720" s="173"/>
      <c r="J1720" s="71"/>
      <c r="K1720" s="71"/>
      <c r="L1720" s="71"/>
      <c r="M1720" s="71" t="s">
        <v>1921</v>
      </c>
      <c r="N1720" s="71">
        <v>630</v>
      </c>
      <c r="O1720" s="71">
        <v>80</v>
      </c>
      <c r="P1720" s="97"/>
      <c r="Q1720" s="97"/>
      <c r="R1720" s="141">
        <f t="shared" si="187"/>
        <v>80</v>
      </c>
      <c r="S1720" s="2">
        <f t="shared" si="188"/>
        <v>0.13802622498274672</v>
      </c>
    </row>
    <row r="1721" spans="1:19" x14ac:dyDescent="0.25">
      <c r="A1721" s="169"/>
      <c r="B1721" s="182"/>
      <c r="C1721" s="182"/>
      <c r="D1721" s="182"/>
      <c r="E1721" s="182"/>
      <c r="F1721" s="172"/>
      <c r="G1721" s="173"/>
      <c r="H1721" s="172"/>
      <c r="I1721" s="173"/>
      <c r="J1721" s="71"/>
      <c r="K1721" s="71"/>
      <c r="L1721" s="71"/>
      <c r="M1721" s="71" t="s">
        <v>1922</v>
      </c>
      <c r="N1721" s="71">
        <v>400</v>
      </c>
      <c r="O1721" s="71">
        <v>25</v>
      </c>
      <c r="P1721" s="97"/>
      <c r="Q1721" s="97"/>
      <c r="R1721" s="141">
        <f t="shared" si="187"/>
        <v>25</v>
      </c>
      <c r="S1721" s="2">
        <f t="shared" si="188"/>
        <v>6.7934782608695649E-2</v>
      </c>
    </row>
    <row r="1722" spans="1:19" x14ac:dyDescent="0.25">
      <c r="A1722" s="169"/>
      <c r="B1722" s="182"/>
      <c r="C1722" s="182"/>
      <c r="D1722" s="182"/>
      <c r="E1722" s="182"/>
      <c r="F1722" s="172"/>
      <c r="G1722" s="173"/>
      <c r="H1722" s="172"/>
      <c r="I1722" s="173"/>
      <c r="J1722" s="71"/>
      <c r="K1722" s="71"/>
      <c r="L1722" s="71"/>
      <c r="M1722" s="71" t="s">
        <v>1923</v>
      </c>
      <c r="N1722" s="71">
        <v>1000</v>
      </c>
      <c r="O1722" s="71">
        <v>50</v>
      </c>
      <c r="P1722" s="97"/>
      <c r="Q1722" s="97"/>
      <c r="R1722" s="141">
        <f t="shared" si="187"/>
        <v>50</v>
      </c>
      <c r="S1722" s="2">
        <f t="shared" si="188"/>
        <v>5.434782608695652E-2</v>
      </c>
    </row>
    <row r="1723" spans="1:19" x14ac:dyDescent="0.25">
      <c r="A1723" s="169"/>
      <c r="B1723" s="182"/>
      <c r="C1723" s="182"/>
      <c r="D1723" s="182"/>
      <c r="E1723" s="182"/>
      <c r="F1723" s="172"/>
      <c r="G1723" s="173"/>
      <c r="H1723" s="172"/>
      <c r="I1723" s="173"/>
      <c r="J1723" s="71"/>
      <c r="K1723" s="71"/>
      <c r="L1723" s="71"/>
      <c r="M1723" s="71" t="s">
        <v>1924</v>
      </c>
      <c r="N1723" s="71">
        <v>630</v>
      </c>
      <c r="O1723" s="71">
        <v>25</v>
      </c>
      <c r="P1723" s="97"/>
      <c r="Q1723" s="97"/>
      <c r="R1723" s="141">
        <f t="shared" si="187"/>
        <v>25</v>
      </c>
      <c r="S1723" s="2">
        <f t="shared" si="188"/>
        <v>4.3133195307108352E-2</v>
      </c>
    </row>
    <row r="1724" spans="1:19" x14ac:dyDescent="0.25">
      <c r="A1724" s="169"/>
      <c r="B1724" s="182"/>
      <c r="C1724" s="182"/>
      <c r="D1724" s="182"/>
      <c r="E1724" s="182"/>
      <c r="F1724" s="172"/>
      <c r="G1724" s="173"/>
      <c r="H1724" s="172"/>
      <c r="I1724" s="173"/>
      <c r="J1724" s="71"/>
      <c r="K1724" s="71"/>
      <c r="L1724" s="71"/>
      <c r="M1724" s="71" t="s">
        <v>1925</v>
      </c>
      <c r="N1724" s="71">
        <v>630</v>
      </c>
      <c r="O1724" s="71">
        <v>44</v>
      </c>
      <c r="P1724" s="97"/>
      <c r="Q1724" s="97"/>
      <c r="R1724" s="141">
        <f t="shared" si="187"/>
        <v>44</v>
      </c>
      <c r="S1724" s="2">
        <f t="shared" si="188"/>
        <v>7.5914423740510689E-2</v>
      </c>
    </row>
    <row r="1725" spans="1:19" x14ac:dyDescent="0.25">
      <c r="A1725" s="169"/>
      <c r="B1725" s="182"/>
      <c r="C1725" s="182"/>
      <c r="D1725" s="182"/>
      <c r="E1725" s="182"/>
      <c r="F1725" s="172"/>
      <c r="G1725" s="173"/>
      <c r="H1725" s="172"/>
      <c r="I1725" s="173"/>
      <c r="J1725" s="88"/>
      <c r="K1725" s="88"/>
      <c r="L1725" s="88"/>
      <c r="M1725" s="88" t="s">
        <v>1926</v>
      </c>
      <c r="N1725" s="91">
        <v>250</v>
      </c>
      <c r="O1725" s="1">
        <v>81.517600000000002</v>
      </c>
      <c r="P1725" s="141"/>
      <c r="Q1725" s="141"/>
      <c r="R1725" s="141">
        <f t="shared" si="187"/>
        <v>81.517600000000002</v>
      </c>
      <c r="S1725" s="2">
        <f t="shared" si="188"/>
        <v>0.35442434782608695</v>
      </c>
    </row>
    <row r="1726" spans="1:19" x14ac:dyDescent="0.25">
      <c r="A1726" s="169"/>
      <c r="B1726" s="182"/>
      <c r="C1726" s="182"/>
      <c r="D1726" s="182"/>
      <c r="E1726" s="182"/>
      <c r="F1726" s="172"/>
      <c r="G1726" s="173"/>
      <c r="H1726" s="172"/>
      <c r="I1726" s="173"/>
      <c r="J1726" s="88"/>
      <c r="K1726" s="88"/>
      <c r="L1726" s="88"/>
      <c r="M1726" s="88" t="s">
        <v>1927</v>
      </c>
      <c r="N1726" s="91">
        <v>400</v>
      </c>
      <c r="O1726" s="1">
        <v>111</v>
      </c>
      <c r="P1726" s="141"/>
      <c r="Q1726" s="141"/>
      <c r="R1726" s="141">
        <f t="shared" si="187"/>
        <v>111</v>
      </c>
      <c r="S1726" s="2">
        <f t="shared" si="188"/>
        <v>0.3016304347826087</v>
      </c>
    </row>
    <row r="1727" spans="1:19" x14ac:dyDescent="0.25">
      <c r="A1727" s="169"/>
      <c r="B1727" s="182"/>
      <c r="C1727" s="182"/>
      <c r="D1727" s="182"/>
      <c r="E1727" s="182"/>
      <c r="F1727" s="172"/>
      <c r="G1727" s="173"/>
      <c r="H1727" s="172"/>
      <c r="I1727" s="173"/>
      <c r="J1727" s="88"/>
      <c r="K1727" s="88"/>
      <c r="L1727" s="88"/>
      <c r="M1727" s="88" t="s">
        <v>1928</v>
      </c>
      <c r="N1727" s="91">
        <v>400</v>
      </c>
      <c r="O1727" s="1">
        <v>143</v>
      </c>
      <c r="P1727" s="141"/>
      <c r="Q1727" s="141"/>
      <c r="R1727" s="141">
        <f t="shared" si="187"/>
        <v>143</v>
      </c>
      <c r="S1727" s="2">
        <f t="shared" si="188"/>
        <v>0.38858695652173914</v>
      </c>
    </row>
    <row r="1728" spans="1:19" x14ac:dyDescent="0.25">
      <c r="A1728" s="169"/>
      <c r="B1728" s="182"/>
      <c r="C1728" s="182"/>
      <c r="D1728" s="182"/>
      <c r="E1728" s="182"/>
      <c r="F1728" s="172"/>
      <c r="G1728" s="173"/>
      <c r="H1728" s="172"/>
      <c r="I1728" s="173"/>
      <c r="J1728" s="88"/>
      <c r="K1728" s="88"/>
      <c r="L1728" s="88"/>
      <c r="M1728" s="88" t="s">
        <v>1929</v>
      </c>
      <c r="N1728" s="91">
        <v>250</v>
      </c>
      <c r="O1728" s="1">
        <v>32.869999999999997</v>
      </c>
      <c r="P1728" s="141"/>
      <c r="Q1728" s="141"/>
      <c r="R1728" s="141">
        <f t="shared" si="187"/>
        <v>32.869999999999997</v>
      </c>
      <c r="S1728" s="2">
        <f t="shared" si="188"/>
        <v>0.14291304347826086</v>
      </c>
    </row>
    <row r="1729" spans="1:19" hidden="1" x14ac:dyDescent="0.25">
      <c r="A1729" s="169"/>
      <c r="B1729" s="182"/>
      <c r="C1729" s="182"/>
      <c r="D1729" s="182"/>
      <c r="E1729" s="182"/>
      <c r="F1729" s="172"/>
      <c r="G1729" s="173"/>
      <c r="H1729" s="172"/>
      <c r="I1729" s="173"/>
      <c r="J1729" s="88"/>
      <c r="K1729" s="88"/>
      <c r="L1729" s="88"/>
      <c r="M1729" s="88" t="s">
        <v>1930</v>
      </c>
      <c r="N1729" s="88"/>
      <c r="O1729" s="88"/>
      <c r="P1729" s="96"/>
      <c r="Q1729" s="96"/>
      <c r="R1729" s="141">
        <f t="shared" si="187"/>
        <v>0</v>
      </c>
      <c r="S1729" s="53"/>
    </row>
    <row r="1730" spans="1:19" ht="31.5" x14ac:dyDescent="0.25">
      <c r="A1730" s="169"/>
      <c r="B1730" s="182"/>
      <c r="C1730" s="182"/>
      <c r="D1730" s="182"/>
      <c r="E1730" s="182"/>
      <c r="F1730" s="172"/>
      <c r="G1730" s="173"/>
      <c r="H1730" s="172"/>
      <c r="I1730" s="173"/>
      <c r="J1730" s="88"/>
      <c r="K1730" s="88"/>
      <c r="L1730" s="88"/>
      <c r="M1730" s="88" t="s">
        <v>1931</v>
      </c>
      <c r="N1730" s="91">
        <v>400</v>
      </c>
      <c r="O1730" s="1">
        <v>48.647599999999997</v>
      </c>
      <c r="P1730" s="141"/>
      <c r="Q1730" s="141"/>
      <c r="R1730" s="141">
        <f t="shared" si="187"/>
        <v>48.647599999999997</v>
      </c>
      <c r="S1730" s="2">
        <f t="shared" ref="S1730:S1744" si="189">R1730/(N1730*0.92)</f>
        <v>0.13219456521739129</v>
      </c>
    </row>
    <row r="1731" spans="1:19" ht="31.5" x14ac:dyDescent="0.25">
      <c r="A1731" s="169"/>
      <c r="B1731" s="182"/>
      <c r="C1731" s="182"/>
      <c r="D1731" s="182"/>
      <c r="E1731" s="182"/>
      <c r="F1731" s="172"/>
      <c r="G1731" s="173"/>
      <c r="H1731" s="172"/>
      <c r="I1731" s="173"/>
      <c r="J1731" s="88"/>
      <c r="K1731" s="88"/>
      <c r="L1731" s="88"/>
      <c r="M1731" s="88" t="s">
        <v>1932</v>
      </c>
      <c r="N1731" s="91">
        <v>630</v>
      </c>
      <c r="O1731" s="1">
        <v>14</v>
      </c>
      <c r="P1731" s="141"/>
      <c r="Q1731" s="141"/>
      <c r="R1731" s="141">
        <f t="shared" si="187"/>
        <v>14</v>
      </c>
      <c r="S1731" s="2">
        <f t="shared" si="189"/>
        <v>2.4154589371980676E-2</v>
      </c>
    </row>
    <row r="1732" spans="1:19" ht="31.5" x14ac:dyDescent="0.25">
      <c r="A1732" s="169"/>
      <c r="B1732" s="182"/>
      <c r="C1732" s="182"/>
      <c r="D1732" s="182"/>
      <c r="E1732" s="182"/>
      <c r="F1732" s="172"/>
      <c r="G1732" s="173"/>
      <c r="H1732" s="172"/>
      <c r="I1732" s="173"/>
      <c r="J1732" s="88"/>
      <c r="K1732" s="88"/>
      <c r="L1732" s="88"/>
      <c r="M1732" s="88" t="s">
        <v>1933</v>
      </c>
      <c r="N1732" s="91">
        <v>630</v>
      </c>
      <c r="O1732" s="1">
        <v>110</v>
      </c>
      <c r="P1732" s="141"/>
      <c r="Q1732" s="141"/>
      <c r="R1732" s="141">
        <f t="shared" si="187"/>
        <v>110</v>
      </c>
      <c r="S1732" s="2">
        <f t="shared" si="189"/>
        <v>0.18978605935127674</v>
      </c>
    </row>
    <row r="1733" spans="1:19" ht="31.5" x14ac:dyDescent="0.25">
      <c r="A1733" s="169"/>
      <c r="B1733" s="182"/>
      <c r="C1733" s="182"/>
      <c r="D1733" s="182"/>
      <c r="E1733" s="182"/>
      <c r="F1733" s="172"/>
      <c r="G1733" s="173"/>
      <c r="H1733" s="172"/>
      <c r="I1733" s="173"/>
      <c r="J1733" s="88"/>
      <c r="K1733" s="88"/>
      <c r="L1733" s="88"/>
      <c r="M1733" s="88" t="s">
        <v>1934</v>
      </c>
      <c r="N1733" s="91">
        <v>250</v>
      </c>
      <c r="O1733" s="1">
        <v>60</v>
      </c>
      <c r="P1733" s="141"/>
      <c r="Q1733" s="141"/>
      <c r="R1733" s="141">
        <f t="shared" si="187"/>
        <v>60</v>
      </c>
      <c r="S1733" s="2">
        <f t="shared" si="189"/>
        <v>0.2608695652173913</v>
      </c>
    </row>
    <row r="1734" spans="1:19" x14ac:dyDescent="0.25">
      <c r="A1734" s="169"/>
      <c r="B1734" s="182"/>
      <c r="C1734" s="182"/>
      <c r="D1734" s="182"/>
      <c r="E1734" s="182"/>
      <c r="F1734" s="172"/>
      <c r="G1734" s="173"/>
      <c r="H1734" s="172"/>
      <c r="I1734" s="173"/>
      <c r="J1734" s="88"/>
      <c r="K1734" s="88"/>
      <c r="L1734" s="88"/>
      <c r="M1734" s="88" t="s">
        <v>1935</v>
      </c>
      <c r="N1734" s="91">
        <v>400</v>
      </c>
      <c r="O1734" s="1">
        <v>133.4522</v>
      </c>
      <c r="P1734" s="141"/>
      <c r="Q1734" s="141"/>
      <c r="R1734" s="141">
        <f t="shared" si="187"/>
        <v>133.4522</v>
      </c>
      <c r="S1734" s="2">
        <f t="shared" si="189"/>
        <v>0.36264184782608699</v>
      </c>
    </row>
    <row r="1735" spans="1:19" x14ac:dyDescent="0.25">
      <c r="A1735" s="169"/>
      <c r="B1735" s="182"/>
      <c r="C1735" s="182"/>
      <c r="D1735" s="182"/>
      <c r="E1735" s="182"/>
      <c r="F1735" s="172"/>
      <c r="G1735" s="173"/>
      <c r="H1735" s="172"/>
      <c r="I1735" s="173"/>
      <c r="J1735" s="71"/>
      <c r="K1735" s="71"/>
      <c r="L1735" s="71"/>
      <c r="M1735" s="71" t="s">
        <v>1936</v>
      </c>
      <c r="N1735" s="61">
        <v>400</v>
      </c>
      <c r="O1735" s="110">
        <v>30</v>
      </c>
      <c r="P1735" s="142"/>
      <c r="Q1735" s="142"/>
      <c r="R1735" s="141">
        <f t="shared" si="187"/>
        <v>30</v>
      </c>
      <c r="S1735" s="2">
        <f t="shared" si="189"/>
        <v>8.1521739130434784E-2</v>
      </c>
    </row>
    <row r="1736" spans="1:19" x14ac:dyDescent="0.25">
      <c r="A1736" s="169"/>
      <c r="B1736" s="182"/>
      <c r="C1736" s="182"/>
      <c r="D1736" s="182"/>
      <c r="E1736" s="182"/>
      <c r="F1736" s="172"/>
      <c r="G1736" s="173"/>
      <c r="H1736" s="172"/>
      <c r="I1736" s="173"/>
      <c r="J1736" s="71"/>
      <c r="K1736" s="71"/>
      <c r="L1736" s="71"/>
      <c r="M1736" s="71" t="s">
        <v>1937</v>
      </c>
      <c r="N1736" s="61">
        <v>630</v>
      </c>
      <c r="O1736" s="110">
        <v>44</v>
      </c>
      <c r="P1736" s="142"/>
      <c r="Q1736" s="142"/>
      <c r="R1736" s="141">
        <f t="shared" si="187"/>
        <v>44</v>
      </c>
      <c r="S1736" s="2">
        <f t="shared" si="189"/>
        <v>7.5914423740510689E-2</v>
      </c>
    </row>
    <row r="1737" spans="1:19" x14ac:dyDescent="0.25">
      <c r="A1737" s="169"/>
      <c r="B1737" s="182"/>
      <c r="C1737" s="182"/>
      <c r="D1737" s="182"/>
      <c r="E1737" s="182"/>
      <c r="F1737" s="172"/>
      <c r="G1737" s="173"/>
      <c r="H1737" s="172"/>
      <c r="I1737" s="173"/>
      <c r="J1737" s="71"/>
      <c r="K1737" s="71"/>
      <c r="L1737" s="71"/>
      <c r="M1737" s="71" t="s">
        <v>1938</v>
      </c>
      <c r="N1737" s="61">
        <v>1000</v>
      </c>
      <c r="O1737" s="110">
        <v>50</v>
      </c>
      <c r="P1737" s="142"/>
      <c r="Q1737" s="142"/>
      <c r="R1737" s="141">
        <f t="shared" si="187"/>
        <v>50</v>
      </c>
      <c r="S1737" s="2">
        <f t="shared" si="189"/>
        <v>5.434782608695652E-2</v>
      </c>
    </row>
    <row r="1738" spans="1:19" x14ac:dyDescent="0.25">
      <c r="A1738" s="169"/>
      <c r="B1738" s="182"/>
      <c r="C1738" s="182"/>
      <c r="D1738" s="182"/>
      <c r="E1738" s="182"/>
      <c r="F1738" s="172"/>
      <c r="G1738" s="173"/>
      <c r="H1738" s="172"/>
      <c r="I1738" s="173"/>
      <c r="J1738" s="71"/>
      <c r="K1738" s="71"/>
      <c r="L1738" s="71"/>
      <c r="M1738" s="71" t="s">
        <v>1939</v>
      </c>
      <c r="N1738" s="61">
        <v>400</v>
      </c>
      <c r="O1738" s="110">
        <v>12</v>
      </c>
      <c r="P1738" s="142"/>
      <c r="Q1738" s="142"/>
      <c r="R1738" s="141">
        <f t="shared" si="187"/>
        <v>12</v>
      </c>
      <c r="S1738" s="2">
        <f t="shared" si="189"/>
        <v>3.2608695652173912E-2</v>
      </c>
    </row>
    <row r="1739" spans="1:19" x14ac:dyDescent="0.25">
      <c r="A1739" s="169"/>
      <c r="B1739" s="182"/>
      <c r="C1739" s="182"/>
      <c r="D1739" s="182"/>
      <c r="E1739" s="182"/>
      <c r="F1739" s="172"/>
      <c r="G1739" s="173"/>
      <c r="H1739" s="172"/>
      <c r="I1739" s="173"/>
      <c r="J1739" s="71"/>
      <c r="K1739" s="71"/>
      <c r="L1739" s="71"/>
      <c r="M1739" s="71" t="s">
        <v>1940</v>
      </c>
      <c r="N1739" s="61">
        <v>1000</v>
      </c>
      <c r="O1739" s="110">
        <v>13</v>
      </c>
      <c r="P1739" s="142"/>
      <c r="Q1739" s="142"/>
      <c r="R1739" s="141">
        <f t="shared" si="187"/>
        <v>13</v>
      </c>
      <c r="S1739" s="2">
        <f t="shared" si="189"/>
        <v>1.4130434782608696E-2</v>
      </c>
    </row>
    <row r="1740" spans="1:19" x14ac:dyDescent="0.25">
      <c r="A1740" s="169"/>
      <c r="B1740" s="182"/>
      <c r="C1740" s="182"/>
      <c r="D1740" s="182"/>
      <c r="E1740" s="182"/>
      <c r="F1740" s="172"/>
      <c r="G1740" s="173"/>
      <c r="H1740" s="172"/>
      <c r="I1740" s="173"/>
      <c r="J1740" s="88"/>
      <c r="K1740" s="88"/>
      <c r="L1740" s="88"/>
      <c r="M1740" s="88" t="s">
        <v>1941</v>
      </c>
      <c r="N1740" s="61">
        <v>630</v>
      </c>
      <c r="O1740" s="1">
        <v>211.68279999999999</v>
      </c>
      <c r="P1740" s="141"/>
      <c r="Q1740" s="141"/>
      <c r="R1740" s="141">
        <f t="shared" si="187"/>
        <v>211.68279999999999</v>
      </c>
      <c r="S1740" s="2">
        <f t="shared" si="189"/>
        <v>0.36522222222222217</v>
      </c>
    </row>
    <row r="1741" spans="1:19" x14ac:dyDescent="0.25">
      <c r="A1741" s="169"/>
      <c r="B1741" s="182"/>
      <c r="C1741" s="182"/>
      <c r="D1741" s="182"/>
      <c r="E1741" s="182"/>
      <c r="F1741" s="172"/>
      <c r="G1741" s="173"/>
      <c r="H1741" s="172"/>
      <c r="I1741" s="173"/>
      <c r="J1741" s="71"/>
      <c r="K1741" s="71"/>
      <c r="L1741" s="71"/>
      <c r="M1741" s="71" t="s">
        <v>1942</v>
      </c>
      <c r="N1741" s="61">
        <v>400</v>
      </c>
      <c r="O1741" s="110">
        <v>48</v>
      </c>
      <c r="P1741" s="142"/>
      <c r="Q1741" s="142"/>
      <c r="R1741" s="141">
        <f t="shared" si="187"/>
        <v>48</v>
      </c>
      <c r="S1741" s="2">
        <f t="shared" si="189"/>
        <v>0.13043478260869565</v>
      </c>
    </row>
    <row r="1742" spans="1:19" x14ac:dyDescent="0.25">
      <c r="A1742" s="169"/>
      <c r="B1742" s="182"/>
      <c r="C1742" s="182"/>
      <c r="D1742" s="182"/>
      <c r="E1742" s="182"/>
      <c r="F1742" s="172"/>
      <c r="G1742" s="173"/>
      <c r="H1742" s="172"/>
      <c r="I1742" s="173"/>
      <c r="J1742" s="88"/>
      <c r="K1742" s="88"/>
      <c r="L1742" s="88"/>
      <c r="M1742" s="88" t="s">
        <v>1943</v>
      </c>
      <c r="N1742" s="91">
        <v>400</v>
      </c>
      <c r="O1742" s="1">
        <v>126.87819999999999</v>
      </c>
      <c r="P1742" s="141"/>
      <c r="Q1742" s="141"/>
      <c r="R1742" s="141">
        <f t="shared" si="187"/>
        <v>126.87819999999999</v>
      </c>
      <c r="S1742" s="2">
        <f t="shared" si="189"/>
        <v>0.34477771739130431</v>
      </c>
    </row>
    <row r="1743" spans="1:19" x14ac:dyDescent="0.25">
      <c r="A1743" s="169"/>
      <c r="B1743" s="182"/>
      <c r="C1743" s="182"/>
      <c r="D1743" s="182"/>
      <c r="E1743" s="182"/>
      <c r="F1743" s="172"/>
      <c r="G1743" s="173"/>
      <c r="H1743" s="172"/>
      <c r="I1743" s="173"/>
      <c r="J1743" s="88"/>
      <c r="K1743" s="88"/>
      <c r="L1743" s="88"/>
      <c r="M1743" s="88" t="s">
        <v>1944</v>
      </c>
      <c r="N1743" s="91">
        <v>400</v>
      </c>
      <c r="O1743" s="1">
        <v>188.0164</v>
      </c>
      <c r="P1743" s="141"/>
      <c r="Q1743" s="141"/>
      <c r="R1743" s="141">
        <f t="shared" si="187"/>
        <v>188.0164</v>
      </c>
      <c r="S1743" s="2">
        <f t="shared" si="189"/>
        <v>0.51091413043478262</v>
      </c>
    </row>
    <row r="1744" spans="1:19" x14ac:dyDescent="0.25">
      <c r="A1744" s="169"/>
      <c r="B1744" s="182"/>
      <c r="C1744" s="182"/>
      <c r="D1744" s="182"/>
      <c r="E1744" s="182"/>
      <c r="F1744" s="172"/>
      <c r="G1744" s="173"/>
      <c r="H1744" s="172"/>
      <c r="I1744" s="173"/>
      <c r="J1744" s="88"/>
      <c r="K1744" s="88"/>
      <c r="L1744" s="88"/>
      <c r="M1744" s="88" t="s">
        <v>1945</v>
      </c>
      <c r="N1744" s="1">
        <f>2*630</f>
        <v>1260</v>
      </c>
      <c r="O1744" s="1">
        <v>250.46940000000001</v>
      </c>
      <c r="P1744" s="141"/>
      <c r="Q1744" s="141"/>
      <c r="R1744" s="141">
        <f t="shared" si="187"/>
        <v>250.46940000000001</v>
      </c>
      <c r="S1744" s="2">
        <f t="shared" si="189"/>
        <v>0.2160709109730849</v>
      </c>
    </row>
    <row r="1745" spans="1:19" hidden="1" x14ac:dyDescent="0.25">
      <c r="A1745" s="169"/>
      <c r="B1745" s="182"/>
      <c r="C1745" s="182"/>
      <c r="D1745" s="182"/>
      <c r="E1745" s="182"/>
      <c r="F1745" s="172"/>
      <c r="G1745" s="173"/>
      <c r="H1745" s="172"/>
      <c r="I1745" s="173"/>
      <c r="J1745" s="71"/>
      <c r="K1745" s="71"/>
      <c r="L1745" s="71"/>
      <c r="M1745" s="71" t="s">
        <v>1946</v>
      </c>
      <c r="N1745" s="61">
        <v>400</v>
      </c>
      <c r="O1745" s="110"/>
      <c r="P1745" s="142"/>
      <c r="Q1745" s="142"/>
      <c r="R1745" s="141">
        <f t="shared" si="187"/>
        <v>0</v>
      </c>
      <c r="S1745" s="105"/>
    </row>
    <row r="1746" spans="1:19" x14ac:dyDescent="0.25">
      <c r="A1746" s="169"/>
      <c r="B1746" s="182"/>
      <c r="C1746" s="182"/>
      <c r="D1746" s="182"/>
      <c r="E1746" s="182"/>
      <c r="F1746" s="172"/>
      <c r="G1746" s="173"/>
      <c r="H1746" s="172"/>
      <c r="I1746" s="173"/>
      <c r="J1746" s="88"/>
      <c r="K1746" s="88"/>
      <c r="L1746" s="88"/>
      <c r="M1746" s="88" t="s">
        <v>1947</v>
      </c>
      <c r="N1746" s="91">
        <v>400</v>
      </c>
      <c r="O1746" s="1">
        <v>151.202</v>
      </c>
      <c r="P1746" s="141"/>
      <c r="Q1746" s="141"/>
      <c r="R1746" s="141">
        <f t="shared" si="187"/>
        <v>151.202</v>
      </c>
      <c r="S1746" s="2">
        <f t="shared" ref="S1746:S1758" si="190">R1746/(N1746*0.92)</f>
        <v>0.41087499999999999</v>
      </c>
    </row>
    <row r="1747" spans="1:19" x14ac:dyDescent="0.25">
      <c r="A1747" s="169"/>
      <c r="B1747" s="182"/>
      <c r="C1747" s="182"/>
      <c r="D1747" s="182"/>
      <c r="E1747" s="182"/>
      <c r="F1747" s="172"/>
      <c r="G1747" s="173"/>
      <c r="H1747" s="172"/>
      <c r="I1747" s="173"/>
      <c r="J1747" s="88"/>
      <c r="K1747" s="88"/>
      <c r="L1747" s="88"/>
      <c r="M1747" s="88" t="s">
        <v>1948</v>
      </c>
      <c r="N1747" s="91">
        <v>400</v>
      </c>
      <c r="O1747" s="1">
        <v>259.673</v>
      </c>
      <c r="P1747" s="141"/>
      <c r="Q1747" s="141"/>
      <c r="R1747" s="141">
        <f t="shared" si="187"/>
        <v>259.673</v>
      </c>
      <c r="S1747" s="2">
        <f t="shared" si="190"/>
        <v>0.70563315217391309</v>
      </c>
    </row>
    <row r="1748" spans="1:19" x14ac:dyDescent="0.25">
      <c r="A1748" s="169"/>
      <c r="B1748" s="182"/>
      <c r="C1748" s="182"/>
      <c r="D1748" s="182"/>
      <c r="E1748" s="182"/>
      <c r="F1748" s="172"/>
      <c r="G1748" s="173"/>
      <c r="H1748" s="172"/>
      <c r="I1748" s="173"/>
      <c r="J1748" s="88"/>
      <c r="K1748" s="88"/>
      <c r="L1748" s="88"/>
      <c r="M1748" s="88" t="s">
        <v>1949</v>
      </c>
      <c r="N1748" s="91">
        <v>400</v>
      </c>
      <c r="O1748" s="1">
        <v>190.64599999999999</v>
      </c>
      <c r="P1748" s="141"/>
      <c r="Q1748" s="141"/>
      <c r="R1748" s="141">
        <f t="shared" si="187"/>
        <v>190.64599999999999</v>
      </c>
      <c r="S1748" s="2">
        <f t="shared" si="190"/>
        <v>0.51805978260869556</v>
      </c>
    </row>
    <row r="1749" spans="1:19" x14ac:dyDescent="0.25">
      <c r="A1749" s="169"/>
      <c r="B1749" s="182"/>
      <c r="C1749" s="182"/>
      <c r="D1749" s="182"/>
      <c r="E1749" s="182"/>
      <c r="F1749" s="172"/>
      <c r="G1749" s="173"/>
      <c r="H1749" s="172"/>
      <c r="I1749" s="173"/>
      <c r="J1749" s="88"/>
      <c r="K1749" s="88"/>
      <c r="L1749" s="88"/>
      <c r="M1749" s="88" t="s">
        <v>1950</v>
      </c>
      <c r="N1749" s="91">
        <v>250</v>
      </c>
      <c r="O1749" s="1">
        <v>82.832399999999993</v>
      </c>
      <c r="P1749" s="141"/>
      <c r="Q1749" s="141"/>
      <c r="R1749" s="141">
        <f t="shared" si="187"/>
        <v>82.832399999999993</v>
      </c>
      <c r="S1749" s="2">
        <f t="shared" si="190"/>
        <v>0.36014086956521735</v>
      </c>
    </row>
    <row r="1750" spans="1:19" x14ac:dyDescent="0.25">
      <c r="A1750" s="169"/>
      <c r="B1750" s="182"/>
      <c r="C1750" s="182"/>
      <c r="D1750" s="182"/>
      <c r="E1750" s="182"/>
      <c r="F1750" s="172"/>
      <c r="G1750" s="173"/>
      <c r="H1750" s="172"/>
      <c r="I1750" s="173"/>
      <c r="J1750" s="88"/>
      <c r="K1750" s="88"/>
      <c r="L1750" s="88"/>
      <c r="M1750" s="88" t="s">
        <v>1951</v>
      </c>
      <c r="N1750" s="91">
        <v>250</v>
      </c>
      <c r="O1750" s="1">
        <v>87.762900000000002</v>
      </c>
      <c r="P1750" s="141"/>
      <c r="Q1750" s="141"/>
      <c r="R1750" s="141">
        <f t="shared" si="187"/>
        <v>87.762900000000002</v>
      </c>
      <c r="S1750" s="2">
        <f t="shared" si="190"/>
        <v>0.38157782608695651</v>
      </c>
    </row>
    <row r="1751" spans="1:19" x14ac:dyDescent="0.25">
      <c r="A1751" s="169"/>
      <c r="B1751" s="182"/>
      <c r="C1751" s="182"/>
      <c r="D1751" s="182"/>
      <c r="E1751" s="182"/>
      <c r="F1751" s="172"/>
      <c r="G1751" s="173"/>
      <c r="H1751" s="172"/>
      <c r="I1751" s="173"/>
      <c r="J1751" s="88"/>
      <c r="K1751" s="88"/>
      <c r="L1751" s="88"/>
      <c r="M1751" s="88" t="s">
        <v>1952</v>
      </c>
      <c r="N1751" s="91">
        <v>400</v>
      </c>
      <c r="O1751" s="1">
        <v>198.53480000000002</v>
      </c>
      <c r="P1751" s="141"/>
      <c r="Q1751" s="141"/>
      <c r="R1751" s="141">
        <f t="shared" si="187"/>
        <v>198.53480000000002</v>
      </c>
      <c r="S1751" s="2">
        <f t="shared" si="190"/>
        <v>0.53949673913043483</v>
      </c>
    </row>
    <row r="1752" spans="1:19" x14ac:dyDescent="0.25">
      <c r="A1752" s="169"/>
      <c r="B1752" s="182"/>
      <c r="C1752" s="182"/>
      <c r="D1752" s="182"/>
      <c r="E1752" s="182"/>
      <c r="F1752" s="174"/>
      <c r="G1752" s="175"/>
      <c r="H1752" s="172"/>
      <c r="I1752" s="173"/>
      <c r="J1752" s="88"/>
      <c r="K1752" s="88"/>
      <c r="L1752" s="88"/>
      <c r="M1752" s="88" t="s">
        <v>1953</v>
      </c>
      <c r="N1752" s="88">
        <v>4000</v>
      </c>
      <c r="O1752" s="88">
        <v>831</v>
      </c>
      <c r="P1752" s="96"/>
      <c r="Q1752" s="96"/>
      <c r="R1752" s="141">
        <f t="shared" si="187"/>
        <v>831</v>
      </c>
      <c r="S1752" s="2">
        <f t="shared" si="190"/>
        <v>0.22581521739130433</v>
      </c>
    </row>
    <row r="1753" spans="1:19" x14ac:dyDescent="0.25">
      <c r="A1753" s="169">
        <f>A1717+1</f>
        <v>11</v>
      </c>
      <c r="B1753" s="182"/>
      <c r="C1753" s="182"/>
      <c r="D1753" s="182"/>
      <c r="E1753" s="182"/>
      <c r="F1753" s="289" t="s">
        <v>1954</v>
      </c>
      <c r="G1753" s="290"/>
      <c r="H1753" s="172"/>
      <c r="I1753" s="173"/>
      <c r="J1753" s="88"/>
      <c r="K1753" s="88"/>
      <c r="L1753" s="88"/>
      <c r="M1753" s="88" t="s">
        <v>1955</v>
      </c>
      <c r="N1753" s="91">
        <v>630</v>
      </c>
      <c r="O1753" s="1">
        <v>414.81939999999997</v>
      </c>
      <c r="P1753" s="141"/>
      <c r="Q1753" s="141"/>
      <c r="R1753" s="141">
        <f t="shared" si="187"/>
        <v>414.81939999999997</v>
      </c>
      <c r="S1753" s="2">
        <f t="shared" si="190"/>
        <v>0.71569944789509998</v>
      </c>
    </row>
    <row r="1754" spans="1:19" x14ac:dyDescent="0.25">
      <c r="A1754" s="169"/>
      <c r="B1754" s="182"/>
      <c r="C1754" s="182"/>
      <c r="D1754" s="182"/>
      <c r="E1754" s="182"/>
      <c r="F1754" s="291"/>
      <c r="G1754" s="292"/>
      <c r="H1754" s="172"/>
      <c r="I1754" s="173"/>
      <c r="J1754" s="88"/>
      <c r="K1754" s="88"/>
      <c r="L1754" s="88"/>
      <c r="M1754" s="88" t="s">
        <v>1951</v>
      </c>
      <c r="N1754" s="91">
        <v>250</v>
      </c>
      <c r="O1754" s="1">
        <v>87.762900000000002</v>
      </c>
      <c r="P1754" s="141"/>
      <c r="Q1754" s="141"/>
      <c r="R1754" s="141">
        <f t="shared" si="187"/>
        <v>87.762900000000002</v>
      </c>
      <c r="S1754" s="2">
        <f t="shared" si="190"/>
        <v>0.38157782608695651</v>
      </c>
    </row>
    <row r="1755" spans="1:19" x14ac:dyDescent="0.25">
      <c r="A1755" s="169"/>
      <c r="B1755" s="182"/>
      <c r="C1755" s="182"/>
      <c r="D1755" s="182"/>
      <c r="E1755" s="182"/>
      <c r="F1755" s="291"/>
      <c r="G1755" s="292"/>
      <c r="H1755" s="172"/>
      <c r="I1755" s="173"/>
      <c r="J1755" s="88"/>
      <c r="K1755" s="88"/>
      <c r="L1755" s="88"/>
      <c r="M1755" s="88" t="s">
        <v>1956</v>
      </c>
      <c r="N1755" s="91">
        <v>400</v>
      </c>
      <c r="O1755" s="1">
        <v>145.94280000000001</v>
      </c>
      <c r="P1755" s="141"/>
      <c r="Q1755" s="141"/>
      <c r="R1755" s="141">
        <f t="shared" si="187"/>
        <v>145.94280000000001</v>
      </c>
      <c r="S1755" s="2">
        <f t="shared" si="190"/>
        <v>0.39658369565217394</v>
      </c>
    </row>
    <row r="1756" spans="1:19" x14ac:dyDescent="0.25">
      <c r="A1756" s="169"/>
      <c r="B1756" s="182"/>
      <c r="C1756" s="182"/>
      <c r="D1756" s="182"/>
      <c r="E1756" s="182"/>
      <c r="F1756" s="291"/>
      <c r="G1756" s="292"/>
      <c r="H1756" s="172"/>
      <c r="I1756" s="173"/>
      <c r="J1756" s="88"/>
      <c r="K1756" s="88"/>
      <c r="L1756" s="88"/>
      <c r="M1756" s="88" t="s">
        <v>1957</v>
      </c>
      <c r="N1756" s="91">
        <v>630</v>
      </c>
      <c r="O1756" s="1">
        <v>132</v>
      </c>
      <c r="P1756" s="141"/>
      <c r="Q1756" s="141"/>
      <c r="R1756" s="141">
        <f t="shared" si="187"/>
        <v>132</v>
      </c>
      <c r="S1756" s="2">
        <f t="shared" si="190"/>
        <v>0.2277432712215321</v>
      </c>
    </row>
    <row r="1757" spans="1:19" x14ac:dyDescent="0.25">
      <c r="A1757" s="169"/>
      <c r="B1757" s="182"/>
      <c r="C1757" s="182"/>
      <c r="D1757" s="182"/>
      <c r="E1757" s="182"/>
      <c r="F1757" s="291"/>
      <c r="G1757" s="292"/>
      <c r="H1757" s="172"/>
      <c r="I1757" s="173"/>
      <c r="J1757" s="88"/>
      <c r="K1757" s="88"/>
      <c r="L1757" s="88"/>
      <c r="M1757" s="88" t="s">
        <v>1958</v>
      </c>
      <c r="N1757" s="91">
        <v>630</v>
      </c>
      <c r="O1757" s="1">
        <v>190.64599999999999</v>
      </c>
      <c r="P1757" s="141"/>
      <c r="Q1757" s="141"/>
      <c r="R1757" s="141">
        <f t="shared" si="187"/>
        <v>190.64599999999999</v>
      </c>
      <c r="S1757" s="2">
        <f t="shared" si="190"/>
        <v>0.32892684610075912</v>
      </c>
    </row>
    <row r="1758" spans="1:19" x14ac:dyDescent="0.25">
      <c r="A1758" s="169"/>
      <c r="B1758" s="182"/>
      <c r="C1758" s="182"/>
      <c r="D1758" s="182"/>
      <c r="E1758" s="182"/>
      <c r="F1758" s="291"/>
      <c r="G1758" s="292"/>
      <c r="H1758" s="172"/>
      <c r="I1758" s="173"/>
      <c r="J1758" s="88"/>
      <c r="K1758" s="88"/>
      <c r="L1758" s="88"/>
      <c r="M1758" s="88" t="s">
        <v>1959</v>
      </c>
      <c r="N1758" s="91">
        <v>630</v>
      </c>
      <c r="O1758" s="1">
        <v>161.5</v>
      </c>
      <c r="P1758" s="141"/>
      <c r="Q1758" s="141"/>
      <c r="R1758" s="141">
        <f t="shared" si="187"/>
        <v>161.5</v>
      </c>
      <c r="S1758" s="2">
        <f t="shared" si="190"/>
        <v>0.27864044168391994</v>
      </c>
    </row>
    <row r="1759" spans="1:19" hidden="1" x14ac:dyDescent="0.25">
      <c r="A1759" s="169"/>
      <c r="B1759" s="182"/>
      <c r="C1759" s="182"/>
      <c r="D1759" s="182"/>
      <c r="E1759" s="182"/>
      <c r="F1759" s="291"/>
      <c r="G1759" s="292"/>
      <c r="H1759" s="172"/>
      <c r="I1759" s="173"/>
      <c r="J1759" s="88"/>
      <c r="K1759" s="88"/>
      <c r="L1759" s="88"/>
      <c r="M1759" s="113" t="s">
        <v>1960</v>
      </c>
      <c r="N1759" s="90"/>
      <c r="O1759" s="90"/>
      <c r="P1759" s="143"/>
      <c r="Q1759" s="143"/>
      <c r="R1759" s="141">
        <f t="shared" si="187"/>
        <v>0</v>
      </c>
      <c r="S1759" s="114"/>
    </row>
    <row r="1760" spans="1:19" x14ac:dyDescent="0.25">
      <c r="A1760" s="169"/>
      <c r="B1760" s="182"/>
      <c r="C1760" s="182"/>
      <c r="D1760" s="182"/>
      <c r="E1760" s="182"/>
      <c r="F1760" s="291"/>
      <c r="G1760" s="292"/>
      <c r="H1760" s="172"/>
      <c r="I1760" s="173"/>
      <c r="J1760" s="88"/>
      <c r="K1760" s="88"/>
      <c r="L1760" s="88"/>
      <c r="M1760" s="88" t="s">
        <v>1961</v>
      </c>
      <c r="N1760" s="91">
        <v>630</v>
      </c>
      <c r="O1760" s="1">
        <v>206.42359999999999</v>
      </c>
      <c r="P1760" s="141"/>
      <c r="Q1760" s="141"/>
      <c r="R1760" s="141">
        <f t="shared" si="187"/>
        <v>206.42359999999999</v>
      </c>
      <c r="S1760" s="2">
        <f t="shared" ref="S1760:S1765" si="191">R1760/(N1760*0.92)</f>
        <v>0.35614837819185641</v>
      </c>
    </row>
    <row r="1761" spans="1:19" x14ac:dyDescent="0.25">
      <c r="A1761" s="169"/>
      <c r="B1761" s="182"/>
      <c r="C1761" s="182"/>
      <c r="D1761" s="182"/>
      <c r="E1761" s="182"/>
      <c r="F1761" s="291"/>
      <c r="G1761" s="292"/>
      <c r="H1761" s="172"/>
      <c r="I1761" s="173"/>
      <c r="J1761" s="88"/>
      <c r="K1761" s="88"/>
      <c r="L1761" s="88"/>
      <c r="M1761" s="88" t="s">
        <v>1962</v>
      </c>
      <c r="N1761" s="91">
        <v>630</v>
      </c>
      <c r="O1761" s="1">
        <v>223.51599999999999</v>
      </c>
      <c r="P1761" s="141"/>
      <c r="Q1761" s="141"/>
      <c r="R1761" s="141">
        <f t="shared" si="187"/>
        <v>223.51599999999999</v>
      </c>
      <c r="S1761" s="2">
        <f t="shared" si="191"/>
        <v>0.38563837129054518</v>
      </c>
    </row>
    <row r="1762" spans="1:19" x14ac:dyDescent="0.25">
      <c r="A1762" s="169"/>
      <c r="B1762" s="182"/>
      <c r="C1762" s="182"/>
      <c r="D1762" s="182"/>
      <c r="E1762" s="182"/>
      <c r="F1762" s="291"/>
      <c r="G1762" s="292"/>
      <c r="H1762" s="172"/>
      <c r="I1762" s="173"/>
      <c r="J1762" s="71"/>
      <c r="K1762" s="71"/>
      <c r="L1762" s="71"/>
      <c r="M1762" s="71" t="s">
        <v>1963</v>
      </c>
      <c r="N1762" s="61">
        <v>630</v>
      </c>
      <c r="O1762" s="110">
        <v>47</v>
      </c>
      <c r="P1762" s="142"/>
      <c r="Q1762" s="142"/>
      <c r="R1762" s="141">
        <f t="shared" si="187"/>
        <v>47</v>
      </c>
      <c r="S1762" s="2">
        <f t="shared" si="191"/>
        <v>8.1090407177363696E-2</v>
      </c>
    </row>
    <row r="1763" spans="1:19" x14ac:dyDescent="0.25">
      <c r="A1763" s="169"/>
      <c r="B1763" s="182"/>
      <c r="C1763" s="182"/>
      <c r="D1763" s="182"/>
      <c r="E1763" s="182"/>
      <c r="F1763" s="291"/>
      <c r="G1763" s="292"/>
      <c r="H1763" s="172"/>
      <c r="I1763" s="173"/>
      <c r="J1763" s="71"/>
      <c r="K1763" s="71"/>
      <c r="L1763" s="71"/>
      <c r="M1763" s="71" t="s">
        <v>1964</v>
      </c>
      <c r="N1763" s="61">
        <v>250</v>
      </c>
      <c r="O1763" s="110">
        <v>63</v>
      </c>
      <c r="P1763" s="142"/>
      <c r="Q1763" s="142"/>
      <c r="R1763" s="141">
        <f t="shared" si="187"/>
        <v>63</v>
      </c>
      <c r="S1763" s="2">
        <f t="shared" si="191"/>
        <v>0.27391304347826084</v>
      </c>
    </row>
    <row r="1764" spans="1:19" x14ac:dyDescent="0.25">
      <c r="A1764" s="203">
        <f>A1753+1</f>
        <v>12</v>
      </c>
      <c r="B1764" s="182"/>
      <c r="C1764" s="182"/>
      <c r="D1764" s="182"/>
      <c r="E1764" s="182"/>
      <c r="F1764" s="170" t="s">
        <v>1965</v>
      </c>
      <c r="G1764" s="171"/>
      <c r="H1764" s="172"/>
      <c r="I1764" s="173"/>
      <c r="J1764" s="88">
        <v>4.18</v>
      </c>
      <c r="K1764" s="88"/>
      <c r="L1764" s="88">
        <v>3.4289999999999998</v>
      </c>
      <c r="M1764" s="88" t="s">
        <v>1915</v>
      </c>
      <c r="N1764" s="91">
        <v>2500</v>
      </c>
      <c r="O1764" s="1">
        <v>650</v>
      </c>
      <c r="P1764" s="141"/>
      <c r="Q1764" s="141"/>
      <c r="R1764" s="141">
        <f t="shared" si="187"/>
        <v>650</v>
      </c>
      <c r="S1764" s="2">
        <f t="shared" si="191"/>
        <v>0.28260869565217389</v>
      </c>
    </row>
    <row r="1765" spans="1:19" x14ac:dyDescent="0.25">
      <c r="A1765" s="201"/>
      <c r="B1765" s="182"/>
      <c r="C1765" s="182"/>
      <c r="D1765" s="182"/>
      <c r="E1765" s="182"/>
      <c r="F1765" s="174"/>
      <c r="G1765" s="175"/>
      <c r="H1765" s="172"/>
      <c r="I1765" s="173"/>
      <c r="J1765" s="88"/>
      <c r="K1765" s="88"/>
      <c r="L1765" s="88"/>
      <c r="M1765" s="88" t="s">
        <v>1916</v>
      </c>
      <c r="N1765" s="88">
        <v>10000</v>
      </c>
      <c r="O1765" s="88">
        <v>3127.5</v>
      </c>
      <c r="P1765" s="96"/>
      <c r="Q1765" s="96"/>
      <c r="R1765" s="141">
        <f t="shared" si="187"/>
        <v>3127.5</v>
      </c>
      <c r="S1765" s="2">
        <f t="shared" si="191"/>
        <v>0.33994565217391304</v>
      </c>
    </row>
    <row r="1766" spans="1:19" hidden="1" x14ac:dyDescent="0.25">
      <c r="A1766" s="181">
        <f>A1764+1</f>
        <v>13</v>
      </c>
      <c r="B1766" s="182"/>
      <c r="C1766" s="182"/>
      <c r="D1766" s="182"/>
      <c r="E1766" s="182"/>
      <c r="F1766" s="170" t="s">
        <v>1966</v>
      </c>
      <c r="G1766" s="171"/>
      <c r="H1766" s="172"/>
      <c r="I1766" s="173"/>
      <c r="J1766" s="71"/>
      <c r="K1766" s="71"/>
      <c r="L1766" s="71"/>
      <c r="M1766" s="71" t="s">
        <v>1918</v>
      </c>
      <c r="N1766" s="71"/>
      <c r="O1766" s="71"/>
      <c r="P1766" s="97"/>
      <c r="Q1766" s="97"/>
      <c r="R1766" s="141">
        <f t="shared" si="187"/>
        <v>0</v>
      </c>
      <c r="S1766" s="112"/>
    </row>
    <row r="1767" spans="1:19" x14ac:dyDescent="0.25">
      <c r="A1767" s="182"/>
      <c r="B1767" s="182"/>
      <c r="C1767" s="182"/>
      <c r="D1767" s="182"/>
      <c r="E1767" s="182"/>
      <c r="F1767" s="172"/>
      <c r="G1767" s="173"/>
      <c r="H1767" s="172"/>
      <c r="I1767" s="173"/>
      <c r="J1767" s="71"/>
      <c r="K1767" s="71"/>
      <c r="L1767" s="71"/>
      <c r="M1767" s="71" t="s">
        <v>1919</v>
      </c>
      <c r="N1767" s="71">
        <v>630</v>
      </c>
      <c r="O1767" s="71">
        <v>59</v>
      </c>
      <c r="P1767" s="97"/>
      <c r="Q1767" s="97"/>
      <c r="R1767" s="141">
        <f t="shared" si="187"/>
        <v>59</v>
      </c>
      <c r="S1767" s="2">
        <f t="shared" ref="S1767:S1780" si="192">R1767/(N1767*0.92)</f>
        <v>0.1017943409247757</v>
      </c>
    </row>
    <row r="1768" spans="1:19" x14ac:dyDescent="0.25">
      <c r="A1768" s="182"/>
      <c r="B1768" s="182"/>
      <c r="C1768" s="182"/>
      <c r="D1768" s="182"/>
      <c r="E1768" s="182"/>
      <c r="F1768" s="172"/>
      <c r="G1768" s="173"/>
      <c r="H1768" s="172"/>
      <c r="I1768" s="173"/>
      <c r="J1768" s="71"/>
      <c r="K1768" s="71"/>
      <c r="L1768" s="71"/>
      <c r="M1768" s="71" t="s">
        <v>1920</v>
      </c>
      <c r="N1768" s="71">
        <v>630</v>
      </c>
      <c r="O1768" s="71">
        <v>29</v>
      </c>
      <c r="P1768" s="97"/>
      <c r="Q1768" s="97"/>
      <c r="R1768" s="141">
        <f t="shared" si="187"/>
        <v>29</v>
      </c>
      <c r="S1768" s="2">
        <f t="shared" si="192"/>
        <v>5.0034506556245688E-2</v>
      </c>
    </row>
    <row r="1769" spans="1:19" x14ac:dyDescent="0.25">
      <c r="A1769" s="182"/>
      <c r="B1769" s="182"/>
      <c r="C1769" s="182"/>
      <c r="D1769" s="182"/>
      <c r="E1769" s="182"/>
      <c r="F1769" s="172"/>
      <c r="G1769" s="173"/>
      <c r="H1769" s="172"/>
      <c r="I1769" s="173"/>
      <c r="J1769" s="71"/>
      <c r="K1769" s="71"/>
      <c r="L1769" s="71"/>
      <c r="M1769" s="71" t="s">
        <v>1921</v>
      </c>
      <c r="N1769" s="71">
        <v>630</v>
      </c>
      <c r="O1769" s="71">
        <v>80</v>
      </c>
      <c r="P1769" s="97"/>
      <c r="Q1769" s="97"/>
      <c r="R1769" s="141">
        <f t="shared" si="187"/>
        <v>80</v>
      </c>
      <c r="S1769" s="2">
        <f t="shared" si="192"/>
        <v>0.13802622498274672</v>
      </c>
    </row>
    <row r="1770" spans="1:19" x14ac:dyDescent="0.25">
      <c r="A1770" s="182"/>
      <c r="B1770" s="182"/>
      <c r="C1770" s="182"/>
      <c r="D1770" s="182"/>
      <c r="E1770" s="182"/>
      <c r="F1770" s="172"/>
      <c r="G1770" s="173"/>
      <c r="H1770" s="172"/>
      <c r="I1770" s="173"/>
      <c r="J1770" s="71"/>
      <c r="K1770" s="71"/>
      <c r="L1770" s="71"/>
      <c r="M1770" s="71" t="s">
        <v>1922</v>
      </c>
      <c r="N1770" s="71">
        <v>400</v>
      </c>
      <c r="O1770" s="71">
        <v>25</v>
      </c>
      <c r="P1770" s="97"/>
      <c r="Q1770" s="97"/>
      <c r="R1770" s="141">
        <f t="shared" si="187"/>
        <v>25</v>
      </c>
      <c r="S1770" s="2">
        <f t="shared" si="192"/>
        <v>6.7934782608695649E-2</v>
      </c>
    </row>
    <row r="1771" spans="1:19" x14ac:dyDescent="0.25">
      <c r="A1771" s="182"/>
      <c r="B1771" s="182"/>
      <c r="C1771" s="182"/>
      <c r="D1771" s="182"/>
      <c r="E1771" s="182"/>
      <c r="F1771" s="172"/>
      <c r="G1771" s="173"/>
      <c r="H1771" s="172"/>
      <c r="I1771" s="173"/>
      <c r="J1771" s="71"/>
      <c r="K1771" s="71"/>
      <c r="L1771" s="71"/>
      <c r="M1771" s="71" t="s">
        <v>1923</v>
      </c>
      <c r="N1771" s="71">
        <v>1000</v>
      </c>
      <c r="O1771" s="71">
        <v>50</v>
      </c>
      <c r="P1771" s="97"/>
      <c r="Q1771" s="97"/>
      <c r="R1771" s="141">
        <f t="shared" si="187"/>
        <v>50</v>
      </c>
      <c r="S1771" s="2">
        <f t="shared" si="192"/>
        <v>5.434782608695652E-2</v>
      </c>
    </row>
    <row r="1772" spans="1:19" x14ac:dyDescent="0.25">
      <c r="A1772" s="182"/>
      <c r="B1772" s="182"/>
      <c r="C1772" s="182"/>
      <c r="D1772" s="182"/>
      <c r="E1772" s="182"/>
      <c r="F1772" s="172"/>
      <c r="G1772" s="173"/>
      <c r="H1772" s="172"/>
      <c r="I1772" s="173"/>
      <c r="J1772" s="71"/>
      <c r="K1772" s="71"/>
      <c r="L1772" s="71"/>
      <c r="M1772" s="71" t="s">
        <v>1924</v>
      </c>
      <c r="N1772" s="71">
        <v>630</v>
      </c>
      <c r="O1772" s="71">
        <v>25</v>
      </c>
      <c r="P1772" s="97"/>
      <c r="Q1772" s="97"/>
      <c r="R1772" s="141">
        <f t="shared" si="187"/>
        <v>25</v>
      </c>
      <c r="S1772" s="2">
        <f t="shared" si="192"/>
        <v>4.3133195307108352E-2</v>
      </c>
    </row>
    <row r="1773" spans="1:19" x14ac:dyDescent="0.25">
      <c r="A1773" s="182"/>
      <c r="B1773" s="182"/>
      <c r="C1773" s="182"/>
      <c r="D1773" s="182"/>
      <c r="E1773" s="182"/>
      <c r="F1773" s="172"/>
      <c r="G1773" s="173"/>
      <c r="H1773" s="172"/>
      <c r="I1773" s="173"/>
      <c r="J1773" s="71"/>
      <c r="K1773" s="71"/>
      <c r="L1773" s="71"/>
      <c r="M1773" s="71" t="s">
        <v>1925</v>
      </c>
      <c r="N1773" s="71">
        <v>630</v>
      </c>
      <c r="O1773" s="71">
        <v>44</v>
      </c>
      <c r="P1773" s="97"/>
      <c r="Q1773" s="97"/>
      <c r="R1773" s="141">
        <f t="shared" si="187"/>
        <v>44</v>
      </c>
      <c r="S1773" s="2">
        <f t="shared" si="192"/>
        <v>7.5914423740510689E-2</v>
      </c>
    </row>
    <row r="1774" spans="1:19" x14ac:dyDescent="0.25">
      <c r="A1774" s="182"/>
      <c r="B1774" s="182"/>
      <c r="C1774" s="182"/>
      <c r="D1774" s="182"/>
      <c r="E1774" s="182"/>
      <c r="F1774" s="172"/>
      <c r="G1774" s="173"/>
      <c r="H1774" s="172"/>
      <c r="I1774" s="173"/>
      <c r="J1774" s="88"/>
      <c r="K1774" s="88"/>
      <c r="L1774" s="88"/>
      <c r="M1774" s="88" t="s">
        <v>1967</v>
      </c>
      <c r="N1774" s="91">
        <v>250</v>
      </c>
      <c r="O1774" s="1">
        <v>88</v>
      </c>
      <c r="P1774" s="141"/>
      <c r="Q1774" s="141"/>
      <c r="R1774" s="141">
        <f t="shared" si="187"/>
        <v>88</v>
      </c>
      <c r="S1774" s="2">
        <f t="shared" si="192"/>
        <v>0.38260869565217392</v>
      </c>
    </row>
    <row r="1775" spans="1:19" x14ac:dyDescent="0.25">
      <c r="A1775" s="182"/>
      <c r="B1775" s="182"/>
      <c r="C1775" s="182"/>
      <c r="D1775" s="182"/>
      <c r="E1775" s="182"/>
      <c r="F1775" s="172"/>
      <c r="G1775" s="173"/>
      <c r="H1775" s="172"/>
      <c r="I1775" s="173"/>
      <c r="J1775" s="88"/>
      <c r="K1775" s="88"/>
      <c r="L1775" s="88"/>
      <c r="M1775" s="88" t="s">
        <v>1968</v>
      </c>
      <c r="N1775" s="91">
        <v>250</v>
      </c>
      <c r="O1775" s="1">
        <v>32.869999999999997</v>
      </c>
      <c r="P1775" s="141"/>
      <c r="Q1775" s="141"/>
      <c r="R1775" s="141">
        <f t="shared" si="187"/>
        <v>32.869999999999997</v>
      </c>
      <c r="S1775" s="2">
        <f t="shared" si="192"/>
        <v>0.14291304347826086</v>
      </c>
    </row>
    <row r="1776" spans="1:19" x14ac:dyDescent="0.25">
      <c r="A1776" s="182"/>
      <c r="B1776" s="182"/>
      <c r="C1776" s="182"/>
      <c r="D1776" s="182"/>
      <c r="E1776" s="182"/>
      <c r="F1776" s="172"/>
      <c r="G1776" s="173"/>
      <c r="H1776" s="172"/>
      <c r="I1776" s="173"/>
      <c r="J1776" s="88"/>
      <c r="K1776" s="88"/>
      <c r="L1776" s="88"/>
      <c r="M1776" s="88" t="s">
        <v>1969</v>
      </c>
      <c r="N1776" s="91">
        <v>250</v>
      </c>
      <c r="O1776" s="1">
        <v>85.462000000000003</v>
      </c>
      <c r="P1776" s="141"/>
      <c r="Q1776" s="141"/>
      <c r="R1776" s="141">
        <f t="shared" si="187"/>
        <v>85.462000000000003</v>
      </c>
      <c r="S1776" s="2">
        <f t="shared" si="192"/>
        <v>0.37157391304347825</v>
      </c>
    </row>
    <row r="1777" spans="1:19" x14ac:dyDescent="0.25">
      <c r="A1777" s="182"/>
      <c r="B1777" s="182"/>
      <c r="C1777" s="182"/>
      <c r="D1777" s="182"/>
      <c r="E1777" s="182"/>
      <c r="F1777" s="172"/>
      <c r="G1777" s="173"/>
      <c r="H1777" s="172"/>
      <c r="I1777" s="173"/>
      <c r="J1777" s="88"/>
      <c r="K1777" s="88"/>
      <c r="L1777" s="88"/>
      <c r="M1777" s="88" t="s">
        <v>1970</v>
      </c>
      <c r="N1777" s="91">
        <v>400</v>
      </c>
      <c r="O1777" s="1">
        <v>19.722000000000001</v>
      </c>
      <c r="P1777" s="141"/>
      <c r="Q1777" s="141"/>
      <c r="R1777" s="141">
        <f t="shared" si="187"/>
        <v>19.722000000000001</v>
      </c>
      <c r="S1777" s="2">
        <f t="shared" si="192"/>
        <v>5.3592391304347828E-2</v>
      </c>
    </row>
    <row r="1778" spans="1:19" x14ac:dyDescent="0.25">
      <c r="A1778" s="182"/>
      <c r="B1778" s="182"/>
      <c r="C1778" s="182"/>
      <c r="D1778" s="182"/>
      <c r="E1778" s="182"/>
      <c r="F1778" s="172"/>
      <c r="G1778" s="173"/>
      <c r="H1778" s="172"/>
      <c r="I1778" s="173"/>
      <c r="J1778" s="88"/>
      <c r="K1778" s="88"/>
      <c r="L1778" s="88"/>
      <c r="M1778" s="88" t="s">
        <v>1971</v>
      </c>
      <c r="N1778" s="91">
        <v>400</v>
      </c>
      <c r="O1778" s="1">
        <v>55.879000000000005</v>
      </c>
      <c r="P1778" s="141"/>
      <c r="Q1778" s="141"/>
      <c r="R1778" s="141">
        <f t="shared" si="187"/>
        <v>55.879000000000005</v>
      </c>
      <c r="S1778" s="2">
        <f t="shared" si="192"/>
        <v>0.15184510869565218</v>
      </c>
    </row>
    <row r="1779" spans="1:19" x14ac:dyDescent="0.25">
      <c r="A1779" s="182"/>
      <c r="B1779" s="182"/>
      <c r="C1779" s="182"/>
      <c r="D1779" s="182"/>
      <c r="E1779" s="182"/>
      <c r="F1779" s="172"/>
      <c r="G1779" s="173"/>
      <c r="H1779" s="172"/>
      <c r="I1779" s="173"/>
      <c r="J1779" s="88"/>
      <c r="K1779" s="88"/>
      <c r="L1779" s="88"/>
      <c r="M1779" s="88" t="s">
        <v>1972</v>
      </c>
      <c r="N1779" s="91">
        <v>630</v>
      </c>
      <c r="O1779" s="1">
        <v>250.46940000000001</v>
      </c>
      <c r="P1779" s="141"/>
      <c r="Q1779" s="141"/>
      <c r="R1779" s="141">
        <f t="shared" si="187"/>
        <v>250.46940000000001</v>
      </c>
      <c r="S1779" s="2">
        <f t="shared" si="192"/>
        <v>0.43214182194616979</v>
      </c>
    </row>
    <row r="1780" spans="1:19" x14ac:dyDescent="0.25">
      <c r="A1780" s="182"/>
      <c r="B1780" s="182"/>
      <c r="C1780" s="182"/>
      <c r="D1780" s="182"/>
      <c r="E1780" s="182"/>
      <c r="F1780" s="172"/>
      <c r="G1780" s="173"/>
      <c r="H1780" s="172"/>
      <c r="I1780" s="173"/>
      <c r="J1780" s="88"/>
      <c r="K1780" s="88"/>
      <c r="L1780" s="88"/>
      <c r="M1780" s="88" t="s">
        <v>1973</v>
      </c>
      <c r="N1780" s="91">
        <v>400</v>
      </c>
      <c r="O1780" s="1">
        <v>60</v>
      </c>
      <c r="P1780" s="141"/>
      <c r="Q1780" s="141"/>
      <c r="R1780" s="141">
        <f t="shared" ref="R1780:R1843" si="193">O1780+P1780+Q1780</f>
        <v>60</v>
      </c>
      <c r="S1780" s="2">
        <f t="shared" si="192"/>
        <v>0.16304347826086957</v>
      </c>
    </row>
    <row r="1781" spans="1:19" hidden="1" x14ac:dyDescent="0.25">
      <c r="A1781" s="182"/>
      <c r="B1781" s="182"/>
      <c r="C1781" s="182"/>
      <c r="D1781" s="182"/>
      <c r="E1781" s="182"/>
      <c r="F1781" s="172"/>
      <c r="G1781" s="173"/>
      <c r="H1781" s="172"/>
      <c r="I1781" s="173"/>
      <c r="J1781" s="71"/>
      <c r="K1781" s="71"/>
      <c r="L1781" s="71"/>
      <c r="M1781" s="71" t="s">
        <v>1974</v>
      </c>
      <c r="N1781" s="61">
        <v>400</v>
      </c>
      <c r="O1781" s="110"/>
      <c r="P1781" s="142"/>
      <c r="Q1781" s="142"/>
      <c r="R1781" s="141">
        <f t="shared" si="193"/>
        <v>0</v>
      </c>
      <c r="S1781" s="105"/>
    </row>
    <row r="1782" spans="1:19" x14ac:dyDescent="0.25">
      <c r="A1782" s="182"/>
      <c r="B1782" s="182"/>
      <c r="C1782" s="182"/>
      <c r="D1782" s="182"/>
      <c r="E1782" s="182"/>
      <c r="F1782" s="172"/>
      <c r="G1782" s="173"/>
      <c r="H1782" s="172"/>
      <c r="I1782" s="173"/>
      <c r="J1782" s="88"/>
      <c r="K1782" s="88"/>
      <c r="L1782" s="88"/>
      <c r="M1782" s="90" t="s">
        <v>1930</v>
      </c>
      <c r="N1782" s="91">
        <v>400</v>
      </c>
      <c r="O1782" s="1">
        <v>160.40559999999999</v>
      </c>
      <c r="P1782" s="141"/>
      <c r="Q1782" s="141"/>
      <c r="R1782" s="141">
        <f t="shared" si="193"/>
        <v>160.40559999999999</v>
      </c>
      <c r="S1782" s="2">
        <f t="shared" ref="S1782:S1783" si="194">R1782/(N1782*0.92)</f>
        <v>0.43588478260869562</v>
      </c>
    </row>
    <row r="1783" spans="1:19" ht="31.5" x14ac:dyDescent="0.25">
      <c r="A1783" s="182"/>
      <c r="B1783" s="182"/>
      <c r="C1783" s="182"/>
      <c r="D1783" s="182"/>
      <c r="E1783" s="182"/>
      <c r="F1783" s="172"/>
      <c r="G1783" s="173"/>
      <c r="H1783" s="172"/>
      <c r="I1783" s="173"/>
      <c r="J1783" s="88"/>
      <c r="K1783" s="88"/>
      <c r="L1783" s="88"/>
      <c r="M1783" s="88" t="s">
        <v>1975</v>
      </c>
      <c r="N1783" s="91">
        <v>630</v>
      </c>
      <c r="O1783" s="1">
        <v>179.7989</v>
      </c>
      <c r="P1783" s="141"/>
      <c r="Q1783" s="141"/>
      <c r="R1783" s="141">
        <f t="shared" si="193"/>
        <v>179.7989</v>
      </c>
      <c r="S1783" s="2">
        <f t="shared" si="194"/>
        <v>0.31021204278812975</v>
      </c>
    </row>
    <row r="1784" spans="1:19" ht="31.5" hidden="1" x14ac:dyDescent="0.25">
      <c r="A1784" s="182"/>
      <c r="B1784" s="182"/>
      <c r="C1784" s="182"/>
      <c r="D1784" s="182"/>
      <c r="E1784" s="182"/>
      <c r="F1784" s="172"/>
      <c r="G1784" s="173"/>
      <c r="H1784" s="172"/>
      <c r="I1784" s="173"/>
      <c r="J1784" s="88"/>
      <c r="K1784" s="88"/>
      <c r="L1784" s="88"/>
      <c r="M1784" s="88" t="s">
        <v>1976</v>
      </c>
      <c r="N1784" s="90"/>
      <c r="O1784" s="90"/>
      <c r="P1784" s="143"/>
      <c r="Q1784" s="143"/>
      <c r="R1784" s="141">
        <f t="shared" si="193"/>
        <v>0</v>
      </c>
      <c r="S1784" s="114"/>
    </row>
    <row r="1785" spans="1:19" ht="31.5" x14ac:dyDescent="0.25">
      <c r="A1785" s="182"/>
      <c r="B1785" s="182"/>
      <c r="C1785" s="182"/>
      <c r="D1785" s="182"/>
      <c r="E1785" s="182"/>
      <c r="F1785" s="172"/>
      <c r="G1785" s="173"/>
      <c r="H1785" s="172"/>
      <c r="I1785" s="173"/>
      <c r="J1785" s="88"/>
      <c r="K1785" s="88"/>
      <c r="L1785" s="88"/>
      <c r="M1785" s="88" t="s">
        <v>1977</v>
      </c>
      <c r="N1785" s="91">
        <v>400</v>
      </c>
      <c r="O1785" s="1">
        <v>48.647599999999997</v>
      </c>
      <c r="P1785" s="141"/>
      <c r="Q1785" s="141"/>
      <c r="R1785" s="141">
        <f t="shared" si="193"/>
        <v>48.647599999999997</v>
      </c>
      <c r="S1785" s="2">
        <f t="shared" ref="S1785:S1793" si="195">R1785/(N1785*0.92)</f>
        <v>0.13219456521739129</v>
      </c>
    </row>
    <row r="1786" spans="1:19" ht="31.5" x14ac:dyDescent="0.25">
      <c r="A1786" s="182"/>
      <c r="B1786" s="182"/>
      <c r="C1786" s="182"/>
      <c r="D1786" s="182"/>
      <c r="E1786" s="182"/>
      <c r="F1786" s="172"/>
      <c r="G1786" s="173"/>
      <c r="H1786" s="172"/>
      <c r="I1786" s="173"/>
      <c r="J1786" s="88"/>
      <c r="K1786" s="88"/>
      <c r="L1786" s="88"/>
      <c r="M1786" s="88" t="s">
        <v>1978</v>
      </c>
      <c r="N1786" s="91">
        <v>630</v>
      </c>
      <c r="O1786" s="1">
        <v>14</v>
      </c>
      <c r="P1786" s="141"/>
      <c r="Q1786" s="141"/>
      <c r="R1786" s="141">
        <f t="shared" si="193"/>
        <v>14</v>
      </c>
      <c r="S1786" s="2">
        <f t="shared" si="195"/>
        <v>2.4154589371980676E-2</v>
      </c>
    </row>
    <row r="1787" spans="1:19" x14ac:dyDescent="0.25">
      <c r="A1787" s="182"/>
      <c r="B1787" s="182"/>
      <c r="C1787" s="182"/>
      <c r="D1787" s="182"/>
      <c r="E1787" s="182"/>
      <c r="F1787" s="172"/>
      <c r="G1787" s="173"/>
      <c r="H1787" s="172"/>
      <c r="I1787" s="173"/>
      <c r="J1787" s="88"/>
      <c r="K1787" s="88"/>
      <c r="L1787" s="88"/>
      <c r="M1787" s="88" t="s">
        <v>1935</v>
      </c>
      <c r="N1787" s="91">
        <v>630</v>
      </c>
      <c r="O1787" s="1">
        <v>110</v>
      </c>
      <c r="P1787" s="141"/>
      <c r="Q1787" s="141"/>
      <c r="R1787" s="141">
        <f t="shared" si="193"/>
        <v>110</v>
      </c>
      <c r="S1787" s="2">
        <f t="shared" si="195"/>
        <v>0.18978605935127674</v>
      </c>
    </row>
    <row r="1788" spans="1:19" x14ac:dyDescent="0.25">
      <c r="A1788" s="182"/>
      <c r="B1788" s="182"/>
      <c r="C1788" s="182"/>
      <c r="D1788" s="182"/>
      <c r="E1788" s="182"/>
      <c r="F1788" s="172"/>
      <c r="G1788" s="173"/>
      <c r="H1788" s="172"/>
      <c r="I1788" s="173"/>
      <c r="J1788" s="71"/>
      <c r="K1788" s="71"/>
      <c r="L1788" s="71"/>
      <c r="M1788" s="71" t="s">
        <v>1936</v>
      </c>
      <c r="N1788" s="61">
        <v>400</v>
      </c>
      <c r="O1788" s="110">
        <v>30</v>
      </c>
      <c r="P1788" s="142"/>
      <c r="Q1788" s="142"/>
      <c r="R1788" s="141">
        <f t="shared" si="193"/>
        <v>30</v>
      </c>
      <c r="S1788" s="2">
        <f t="shared" si="195"/>
        <v>8.1521739130434784E-2</v>
      </c>
    </row>
    <row r="1789" spans="1:19" x14ac:dyDescent="0.25">
      <c r="A1789" s="182"/>
      <c r="B1789" s="182"/>
      <c r="C1789" s="182"/>
      <c r="D1789" s="182"/>
      <c r="E1789" s="182"/>
      <c r="F1789" s="172"/>
      <c r="G1789" s="173"/>
      <c r="H1789" s="172"/>
      <c r="I1789" s="173"/>
      <c r="J1789" s="71"/>
      <c r="K1789" s="71"/>
      <c r="L1789" s="71"/>
      <c r="M1789" s="71" t="s">
        <v>1937</v>
      </c>
      <c r="N1789" s="61">
        <v>630</v>
      </c>
      <c r="O1789" s="110">
        <v>44</v>
      </c>
      <c r="P1789" s="142"/>
      <c r="Q1789" s="142"/>
      <c r="R1789" s="141">
        <f t="shared" si="193"/>
        <v>44</v>
      </c>
      <c r="S1789" s="2">
        <f t="shared" si="195"/>
        <v>7.5914423740510689E-2</v>
      </c>
    </row>
    <row r="1790" spans="1:19" x14ac:dyDescent="0.25">
      <c r="A1790" s="182"/>
      <c r="B1790" s="182"/>
      <c r="C1790" s="182"/>
      <c r="D1790" s="182"/>
      <c r="E1790" s="182"/>
      <c r="F1790" s="172"/>
      <c r="G1790" s="173"/>
      <c r="H1790" s="172"/>
      <c r="I1790" s="173"/>
      <c r="J1790" s="71"/>
      <c r="K1790" s="71"/>
      <c r="L1790" s="71"/>
      <c r="M1790" s="71" t="s">
        <v>1938</v>
      </c>
      <c r="N1790" s="61">
        <v>1000</v>
      </c>
      <c r="O1790" s="110">
        <v>50</v>
      </c>
      <c r="P1790" s="142"/>
      <c r="Q1790" s="142"/>
      <c r="R1790" s="141">
        <f t="shared" si="193"/>
        <v>50</v>
      </c>
      <c r="S1790" s="2">
        <f t="shared" si="195"/>
        <v>5.434782608695652E-2</v>
      </c>
    </row>
    <row r="1791" spans="1:19" x14ac:dyDescent="0.25">
      <c r="A1791" s="182"/>
      <c r="B1791" s="182"/>
      <c r="C1791" s="182"/>
      <c r="D1791" s="182"/>
      <c r="E1791" s="182"/>
      <c r="F1791" s="172"/>
      <c r="G1791" s="173"/>
      <c r="H1791" s="172"/>
      <c r="I1791" s="173"/>
      <c r="J1791" s="71"/>
      <c r="K1791" s="71"/>
      <c r="L1791" s="71"/>
      <c r="M1791" s="71" t="s">
        <v>1939</v>
      </c>
      <c r="N1791" s="61">
        <v>400</v>
      </c>
      <c r="O1791" s="110">
        <v>12</v>
      </c>
      <c r="P1791" s="142"/>
      <c r="Q1791" s="142"/>
      <c r="R1791" s="141">
        <f t="shared" si="193"/>
        <v>12</v>
      </c>
      <c r="S1791" s="2">
        <f t="shared" si="195"/>
        <v>3.2608695652173912E-2</v>
      </c>
    </row>
    <row r="1792" spans="1:19" x14ac:dyDescent="0.25">
      <c r="A1792" s="182"/>
      <c r="B1792" s="182"/>
      <c r="C1792" s="182"/>
      <c r="D1792" s="182"/>
      <c r="E1792" s="182"/>
      <c r="F1792" s="172"/>
      <c r="G1792" s="173"/>
      <c r="H1792" s="172"/>
      <c r="I1792" s="173"/>
      <c r="J1792" s="71"/>
      <c r="K1792" s="71"/>
      <c r="L1792" s="71"/>
      <c r="M1792" s="71" t="s">
        <v>1940</v>
      </c>
      <c r="N1792" s="61">
        <v>1000</v>
      </c>
      <c r="O1792" s="110">
        <v>13</v>
      </c>
      <c r="P1792" s="142"/>
      <c r="Q1792" s="142"/>
      <c r="R1792" s="141">
        <f t="shared" si="193"/>
        <v>13</v>
      </c>
      <c r="S1792" s="2">
        <f t="shared" si="195"/>
        <v>1.4130434782608696E-2</v>
      </c>
    </row>
    <row r="1793" spans="1:19" x14ac:dyDescent="0.25">
      <c r="A1793" s="182"/>
      <c r="B1793" s="182"/>
      <c r="C1793" s="182"/>
      <c r="D1793" s="182"/>
      <c r="E1793" s="182"/>
      <c r="F1793" s="172"/>
      <c r="G1793" s="173"/>
      <c r="H1793" s="172"/>
      <c r="I1793" s="173"/>
      <c r="J1793" s="88"/>
      <c r="K1793" s="88"/>
      <c r="L1793" s="88"/>
      <c r="M1793" s="88" t="s">
        <v>1979</v>
      </c>
      <c r="N1793" s="91">
        <v>250</v>
      </c>
      <c r="O1793" s="1">
        <v>60</v>
      </c>
      <c r="P1793" s="141"/>
      <c r="Q1793" s="141"/>
      <c r="R1793" s="141">
        <f t="shared" si="193"/>
        <v>60</v>
      </c>
      <c r="S1793" s="2">
        <f t="shared" si="195"/>
        <v>0.2608695652173913</v>
      </c>
    </row>
    <row r="1794" spans="1:19" hidden="1" x14ac:dyDescent="0.25">
      <c r="A1794" s="182"/>
      <c r="B1794" s="182"/>
      <c r="C1794" s="182"/>
      <c r="D1794" s="182"/>
      <c r="E1794" s="182"/>
      <c r="F1794" s="172"/>
      <c r="G1794" s="173"/>
      <c r="H1794" s="172"/>
      <c r="I1794" s="173"/>
      <c r="J1794" s="88"/>
      <c r="K1794" s="88"/>
      <c r="L1794" s="88"/>
      <c r="M1794" s="88" t="s">
        <v>1941</v>
      </c>
      <c r="N1794" s="91"/>
      <c r="O1794" s="1"/>
      <c r="P1794" s="141"/>
      <c r="Q1794" s="141"/>
      <c r="R1794" s="141">
        <f t="shared" si="193"/>
        <v>0</v>
      </c>
      <c r="S1794" s="109"/>
    </row>
    <row r="1795" spans="1:19" hidden="1" x14ac:dyDescent="0.25">
      <c r="A1795" s="182"/>
      <c r="B1795" s="182"/>
      <c r="C1795" s="182"/>
      <c r="D1795" s="182"/>
      <c r="E1795" s="182"/>
      <c r="F1795" s="172"/>
      <c r="G1795" s="173"/>
      <c r="H1795" s="172"/>
      <c r="I1795" s="173"/>
      <c r="J1795" s="88"/>
      <c r="K1795" s="88"/>
      <c r="L1795" s="88"/>
      <c r="M1795" s="88" t="s">
        <v>1980</v>
      </c>
      <c r="N1795" s="91"/>
      <c r="O1795" s="1"/>
      <c r="P1795" s="141"/>
      <c r="Q1795" s="141"/>
      <c r="R1795" s="141">
        <f t="shared" si="193"/>
        <v>0</v>
      </c>
      <c r="S1795" s="109"/>
    </row>
    <row r="1796" spans="1:19" x14ac:dyDescent="0.25">
      <c r="A1796" s="182"/>
      <c r="B1796" s="182"/>
      <c r="C1796" s="182"/>
      <c r="D1796" s="182"/>
      <c r="E1796" s="182"/>
      <c r="F1796" s="172"/>
      <c r="G1796" s="173"/>
      <c r="H1796" s="172"/>
      <c r="I1796" s="173"/>
      <c r="J1796" s="88"/>
      <c r="K1796" s="88"/>
      <c r="L1796" s="88"/>
      <c r="M1796" s="88" t="s">
        <v>1981</v>
      </c>
      <c r="N1796" s="91">
        <v>400</v>
      </c>
      <c r="O1796" s="1">
        <v>138.7114</v>
      </c>
      <c r="P1796" s="141"/>
      <c r="Q1796" s="141"/>
      <c r="R1796" s="141">
        <f t="shared" si="193"/>
        <v>138.7114</v>
      </c>
      <c r="S1796" s="2">
        <f t="shared" ref="S1796:S1798" si="196">R1796/(N1796*0.92)</f>
        <v>0.37693315217391304</v>
      </c>
    </row>
    <row r="1797" spans="1:19" x14ac:dyDescent="0.25">
      <c r="A1797" s="182"/>
      <c r="B1797" s="182"/>
      <c r="C1797" s="182"/>
      <c r="D1797" s="182"/>
      <c r="E1797" s="182"/>
      <c r="F1797" s="172"/>
      <c r="G1797" s="173"/>
      <c r="H1797" s="172"/>
      <c r="I1797" s="173"/>
      <c r="J1797" s="88"/>
      <c r="K1797" s="88"/>
      <c r="L1797" s="88"/>
      <c r="M1797" s="88" t="s">
        <v>1982</v>
      </c>
      <c r="N1797" s="91">
        <v>400</v>
      </c>
      <c r="O1797" s="1">
        <v>224.17339999999999</v>
      </c>
      <c r="P1797" s="141"/>
      <c r="Q1797" s="141"/>
      <c r="R1797" s="141">
        <f t="shared" si="193"/>
        <v>224.17339999999999</v>
      </c>
      <c r="S1797" s="2">
        <f t="shared" si="196"/>
        <v>0.60916684782608688</v>
      </c>
    </row>
    <row r="1798" spans="1:19" x14ac:dyDescent="0.25">
      <c r="A1798" s="182"/>
      <c r="B1798" s="182"/>
      <c r="C1798" s="182"/>
      <c r="D1798" s="182"/>
      <c r="E1798" s="182"/>
      <c r="F1798" s="172"/>
      <c r="G1798" s="173"/>
      <c r="H1798" s="172"/>
      <c r="I1798" s="173"/>
      <c r="J1798" s="88"/>
      <c r="K1798" s="88"/>
      <c r="L1798" s="88"/>
      <c r="M1798" s="71" t="s">
        <v>1983</v>
      </c>
      <c r="N1798" s="91">
        <v>400</v>
      </c>
      <c r="O1798" s="1">
        <v>203.79399999999998</v>
      </c>
      <c r="P1798" s="141"/>
      <c r="Q1798" s="141"/>
      <c r="R1798" s="141">
        <f t="shared" si="193"/>
        <v>203.79399999999998</v>
      </c>
      <c r="S1798" s="2">
        <f t="shared" si="196"/>
        <v>0.55378804347826083</v>
      </c>
    </row>
    <row r="1799" spans="1:19" hidden="1" x14ac:dyDescent="0.25">
      <c r="A1799" s="182"/>
      <c r="B1799" s="182"/>
      <c r="C1799" s="182"/>
      <c r="D1799" s="182"/>
      <c r="E1799" s="182"/>
      <c r="F1799" s="172"/>
      <c r="G1799" s="173"/>
      <c r="H1799" s="172"/>
      <c r="I1799" s="173"/>
      <c r="J1799" s="88"/>
      <c r="K1799" s="88"/>
      <c r="L1799" s="88"/>
      <c r="M1799" s="88" t="s">
        <v>1984</v>
      </c>
      <c r="N1799" s="91"/>
      <c r="O1799" s="1"/>
      <c r="P1799" s="141"/>
      <c r="Q1799" s="141"/>
      <c r="R1799" s="141">
        <f t="shared" si="193"/>
        <v>0</v>
      </c>
      <c r="S1799" s="109"/>
    </row>
    <row r="1800" spans="1:19" x14ac:dyDescent="0.25">
      <c r="A1800" s="183"/>
      <c r="B1800" s="182"/>
      <c r="C1800" s="182"/>
      <c r="D1800" s="182"/>
      <c r="E1800" s="182"/>
      <c r="F1800" s="174"/>
      <c r="G1800" s="175"/>
      <c r="H1800" s="172"/>
      <c r="I1800" s="173"/>
      <c r="J1800" s="88"/>
      <c r="K1800" s="88"/>
      <c r="L1800" s="88"/>
      <c r="M1800" s="88" t="s">
        <v>1985</v>
      </c>
      <c r="N1800" s="91">
        <v>400</v>
      </c>
      <c r="O1800" s="1">
        <v>151.85939999999999</v>
      </c>
      <c r="P1800" s="141"/>
      <c r="Q1800" s="141"/>
      <c r="R1800" s="141">
        <f t="shared" si="193"/>
        <v>151.85939999999999</v>
      </c>
      <c r="S1800" s="2">
        <f t="shared" ref="S1800:S1804" si="197">R1800/(N1800*0.92)</f>
        <v>0.41266141304347825</v>
      </c>
    </row>
    <row r="1801" spans="1:19" x14ac:dyDescent="0.25">
      <c r="A1801" s="171">
        <f>A1766+1</f>
        <v>14</v>
      </c>
      <c r="B1801" s="182"/>
      <c r="C1801" s="182"/>
      <c r="D1801" s="182"/>
      <c r="E1801" s="182"/>
      <c r="F1801" s="170" t="s">
        <v>1966</v>
      </c>
      <c r="G1801" s="171"/>
      <c r="H1801" s="172"/>
      <c r="I1801" s="173"/>
      <c r="J1801" s="88"/>
      <c r="K1801" s="88"/>
      <c r="L1801" s="88"/>
      <c r="M1801" s="88" t="s">
        <v>1955</v>
      </c>
      <c r="N1801" s="91">
        <v>630</v>
      </c>
      <c r="O1801" s="1">
        <v>414.81939999999997</v>
      </c>
      <c r="P1801" s="141"/>
      <c r="Q1801" s="141"/>
      <c r="R1801" s="141">
        <f t="shared" si="193"/>
        <v>414.81939999999997</v>
      </c>
      <c r="S1801" s="2">
        <f t="shared" si="197"/>
        <v>0.71569944789509998</v>
      </c>
    </row>
    <row r="1802" spans="1:19" x14ac:dyDescent="0.25">
      <c r="A1802" s="173"/>
      <c r="B1802" s="182"/>
      <c r="C1802" s="182"/>
      <c r="D1802" s="182"/>
      <c r="E1802" s="182"/>
      <c r="F1802" s="172"/>
      <c r="G1802" s="173"/>
      <c r="H1802" s="172"/>
      <c r="I1802" s="173"/>
      <c r="J1802" s="88"/>
      <c r="K1802" s="88"/>
      <c r="L1802" s="88"/>
      <c r="M1802" s="88" t="s">
        <v>1951</v>
      </c>
      <c r="N1802" s="91">
        <v>250</v>
      </c>
      <c r="O1802" s="1">
        <v>87.762900000000002</v>
      </c>
      <c r="P1802" s="141"/>
      <c r="Q1802" s="141"/>
      <c r="R1802" s="141">
        <f t="shared" si="193"/>
        <v>87.762900000000002</v>
      </c>
      <c r="S1802" s="2">
        <f t="shared" si="197"/>
        <v>0.38157782608695651</v>
      </c>
    </row>
    <row r="1803" spans="1:19" x14ac:dyDescent="0.25">
      <c r="A1803" s="173"/>
      <c r="B1803" s="182"/>
      <c r="C1803" s="182"/>
      <c r="D1803" s="182"/>
      <c r="E1803" s="182"/>
      <c r="F1803" s="172"/>
      <c r="G1803" s="173"/>
      <c r="H1803" s="172"/>
      <c r="I1803" s="173"/>
      <c r="J1803" s="88"/>
      <c r="K1803" s="88"/>
      <c r="L1803" s="88"/>
      <c r="M1803" s="88" t="s">
        <v>1958</v>
      </c>
      <c r="N1803" s="91">
        <v>630</v>
      </c>
      <c r="O1803" s="1">
        <v>190.64599999999999</v>
      </c>
      <c r="P1803" s="141"/>
      <c r="Q1803" s="141"/>
      <c r="R1803" s="141">
        <f t="shared" si="193"/>
        <v>190.64599999999999</v>
      </c>
      <c r="S1803" s="2">
        <f t="shared" si="197"/>
        <v>0.32892684610075912</v>
      </c>
    </row>
    <row r="1804" spans="1:19" x14ac:dyDescent="0.25">
      <c r="A1804" s="173"/>
      <c r="B1804" s="182"/>
      <c r="C1804" s="182"/>
      <c r="D1804" s="182"/>
      <c r="E1804" s="182"/>
      <c r="F1804" s="172"/>
      <c r="G1804" s="173"/>
      <c r="H1804" s="172"/>
      <c r="I1804" s="173"/>
      <c r="J1804" s="88"/>
      <c r="K1804" s="88"/>
      <c r="L1804" s="88"/>
      <c r="M1804" s="88" t="s">
        <v>1959</v>
      </c>
      <c r="N1804" s="91">
        <v>630</v>
      </c>
      <c r="O1804" s="1">
        <v>161.5</v>
      </c>
      <c r="P1804" s="141"/>
      <c r="Q1804" s="141"/>
      <c r="R1804" s="141">
        <f t="shared" si="193"/>
        <v>161.5</v>
      </c>
      <c r="S1804" s="2">
        <f t="shared" si="197"/>
        <v>0.27864044168391994</v>
      </c>
    </row>
    <row r="1805" spans="1:19" hidden="1" x14ac:dyDescent="0.25">
      <c r="A1805" s="173"/>
      <c r="B1805" s="182"/>
      <c r="C1805" s="182"/>
      <c r="D1805" s="182"/>
      <c r="E1805" s="182"/>
      <c r="F1805" s="172"/>
      <c r="G1805" s="173"/>
      <c r="H1805" s="172"/>
      <c r="I1805" s="173"/>
      <c r="J1805" s="88"/>
      <c r="K1805" s="88"/>
      <c r="L1805" s="88"/>
      <c r="M1805" s="115" t="s">
        <v>1960</v>
      </c>
      <c r="N1805" s="115"/>
      <c r="O1805" s="115"/>
      <c r="P1805" s="144"/>
      <c r="Q1805" s="144"/>
      <c r="R1805" s="141">
        <f t="shared" si="193"/>
        <v>0</v>
      </c>
      <c r="S1805" s="116"/>
    </row>
    <row r="1806" spans="1:19" x14ac:dyDescent="0.25">
      <c r="A1806" s="173"/>
      <c r="B1806" s="182"/>
      <c r="C1806" s="182"/>
      <c r="D1806" s="182"/>
      <c r="E1806" s="182"/>
      <c r="F1806" s="172"/>
      <c r="G1806" s="173"/>
      <c r="H1806" s="172"/>
      <c r="I1806" s="173"/>
      <c r="J1806" s="88"/>
      <c r="K1806" s="88"/>
      <c r="L1806" s="88"/>
      <c r="M1806" s="88" t="s">
        <v>1961</v>
      </c>
      <c r="N1806" s="91">
        <v>630</v>
      </c>
      <c r="O1806" s="1">
        <v>206.42359999999999</v>
      </c>
      <c r="P1806" s="141"/>
      <c r="Q1806" s="141"/>
      <c r="R1806" s="141">
        <f t="shared" si="193"/>
        <v>206.42359999999999</v>
      </c>
      <c r="S1806" s="2">
        <f t="shared" ref="S1806:S1851" si="198">R1806/(N1806*0.92)</f>
        <v>0.35614837819185641</v>
      </c>
    </row>
    <row r="1807" spans="1:19" x14ac:dyDescent="0.25">
      <c r="A1807" s="173"/>
      <c r="B1807" s="182"/>
      <c r="C1807" s="182"/>
      <c r="D1807" s="182"/>
      <c r="E1807" s="182"/>
      <c r="F1807" s="172"/>
      <c r="G1807" s="173"/>
      <c r="H1807" s="172"/>
      <c r="I1807" s="173"/>
      <c r="J1807" s="88"/>
      <c r="K1807" s="88"/>
      <c r="L1807" s="88"/>
      <c r="M1807" s="88" t="s">
        <v>1962</v>
      </c>
      <c r="N1807" s="91">
        <v>630</v>
      </c>
      <c r="O1807" s="1">
        <v>223.51599999999999</v>
      </c>
      <c r="P1807" s="141"/>
      <c r="Q1807" s="141"/>
      <c r="R1807" s="141">
        <f t="shared" si="193"/>
        <v>223.51599999999999</v>
      </c>
      <c r="S1807" s="2">
        <f t="shared" si="198"/>
        <v>0.38563837129054518</v>
      </c>
    </row>
    <row r="1808" spans="1:19" x14ac:dyDescent="0.25">
      <c r="A1808" s="173"/>
      <c r="B1808" s="182"/>
      <c r="C1808" s="182"/>
      <c r="D1808" s="182"/>
      <c r="E1808" s="182"/>
      <c r="F1808" s="172"/>
      <c r="G1808" s="173"/>
      <c r="H1808" s="172"/>
      <c r="I1808" s="173"/>
      <c r="J1808" s="71"/>
      <c r="K1808" s="71"/>
      <c r="L1808" s="71"/>
      <c r="M1808" s="71" t="s">
        <v>1963</v>
      </c>
      <c r="N1808" s="61">
        <v>630</v>
      </c>
      <c r="O1808" s="110">
        <v>47</v>
      </c>
      <c r="P1808" s="142"/>
      <c r="Q1808" s="142"/>
      <c r="R1808" s="141">
        <f t="shared" si="193"/>
        <v>47</v>
      </c>
      <c r="S1808" s="2">
        <f t="shared" si="198"/>
        <v>8.1090407177363696E-2</v>
      </c>
    </row>
    <row r="1809" spans="1:19" x14ac:dyDescent="0.25">
      <c r="A1809" s="175"/>
      <c r="B1809" s="182"/>
      <c r="C1809" s="182"/>
      <c r="D1809" s="182"/>
      <c r="E1809" s="182"/>
      <c r="F1809" s="174"/>
      <c r="G1809" s="175"/>
      <c r="H1809" s="172"/>
      <c r="I1809" s="173"/>
      <c r="J1809" s="71"/>
      <c r="K1809" s="71"/>
      <c r="L1809" s="71"/>
      <c r="M1809" s="71" t="s">
        <v>1964</v>
      </c>
      <c r="N1809" s="61">
        <v>250</v>
      </c>
      <c r="O1809" s="110">
        <v>63</v>
      </c>
      <c r="P1809" s="142"/>
      <c r="Q1809" s="142"/>
      <c r="R1809" s="141">
        <f t="shared" si="193"/>
        <v>63</v>
      </c>
      <c r="S1809" s="2">
        <f t="shared" si="198"/>
        <v>0.27391304347826084</v>
      </c>
    </row>
    <row r="1810" spans="1:19" x14ac:dyDescent="0.25">
      <c r="A1810" s="203">
        <f>A1801+1</f>
        <v>15</v>
      </c>
      <c r="B1810" s="182"/>
      <c r="C1810" s="182"/>
      <c r="D1810" s="182"/>
      <c r="E1810" s="182"/>
      <c r="F1810" s="170" t="s">
        <v>1869</v>
      </c>
      <c r="G1810" s="171"/>
      <c r="H1810" s="172"/>
      <c r="I1810" s="173"/>
      <c r="J1810" s="88">
        <v>2.29</v>
      </c>
      <c r="K1810" s="88"/>
      <c r="L1810" s="88">
        <v>0.91700000000000004</v>
      </c>
      <c r="M1810" s="88" t="s">
        <v>1986</v>
      </c>
      <c r="N1810" s="91">
        <v>630</v>
      </c>
      <c r="O1810" s="1">
        <v>122.5</v>
      </c>
      <c r="P1810" s="141"/>
      <c r="Q1810" s="141"/>
      <c r="R1810" s="141">
        <f t="shared" si="193"/>
        <v>122.5</v>
      </c>
      <c r="S1810" s="2">
        <f t="shared" si="198"/>
        <v>0.21135265700483091</v>
      </c>
    </row>
    <row r="1811" spans="1:19" x14ac:dyDescent="0.25">
      <c r="A1811" s="201"/>
      <c r="B1811" s="182"/>
      <c r="C1811" s="182"/>
      <c r="D1811" s="182"/>
      <c r="E1811" s="182"/>
      <c r="F1811" s="172"/>
      <c r="G1811" s="173"/>
      <c r="H1811" s="172"/>
      <c r="I1811" s="173"/>
      <c r="J1811" s="88"/>
      <c r="K1811" s="88"/>
      <c r="L1811" s="88"/>
      <c r="M1811" s="88" t="s">
        <v>1987</v>
      </c>
      <c r="N1811" s="91">
        <v>630</v>
      </c>
      <c r="O1811" s="1">
        <v>203.79399999999998</v>
      </c>
      <c r="P1811" s="141"/>
      <c r="Q1811" s="141"/>
      <c r="R1811" s="141">
        <f t="shared" si="193"/>
        <v>203.79399999999998</v>
      </c>
      <c r="S1811" s="2">
        <f t="shared" si="198"/>
        <v>0.3516114561766735</v>
      </c>
    </row>
    <row r="1812" spans="1:19" x14ac:dyDescent="0.25">
      <c r="A1812" s="201"/>
      <c r="B1812" s="182"/>
      <c r="C1812" s="182"/>
      <c r="D1812" s="182"/>
      <c r="E1812" s="182"/>
      <c r="F1812" s="172"/>
      <c r="G1812" s="173"/>
      <c r="H1812" s="172"/>
      <c r="I1812" s="173"/>
      <c r="J1812" s="88"/>
      <c r="K1812" s="88"/>
      <c r="L1812" s="88"/>
      <c r="M1812" s="88" t="s">
        <v>1988</v>
      </c>
      <c r="N1812" s="91">
        <v>1000</v>
      </c>
      <c r="O1812" s="1">
        <v>145.94280000000001</v>
      </c>
      <c r="P1812" s="141"/>
      <c r="Q1812" s="141"/>
      <c r="R1812" s="141">
        <f t="shared" si="193"/>
        <v>145.94280000000001</v>
      </c>
      <c r="S1812" s="2">
        <f t="shared" si="198"/>
        <v>0.15863347826086957</v>
      </c>
    </row>
    <row r="1813" spans="1:19" x14ac:dyDescent="0.25">
      <c r="A1813" s="201"/>
      <c r="B1813" s="182"/>
      <c r="C1813" s="182"/>
      <c r="D1813" s="182"/>
      <c r="E1813" s="182"/>
      <c r="F1813" s="172"/>
      <c r="G1813" s="173"/>
      <c r="H1813" s="172"/>
      <c r="I1813" s="173"/>
      <c r="J1813" s="88"/>
      <c r="K1813" s="88"/>
      <c r="L1813" s="88"/>
      <c r="M1813" s="88" t="s">
        <v>1989</v>
      </c>
      <c r="N1813" s="91">
        <v>1000</v>
      </c>
      <c r="O1813" s="1">
        <v>124.2486</v>
      </c>
      <c r="P1813" s="141"/>
      <c r="Q1813" s="141"/>
      <c r="R1813" s="141">
        <f t="shared" si="193"/>
        <v>124.2486</v>
      </c>
      <c r="S1813" s="2">
        <f t="shared" si="198"/>
        <v>0.13505282608695651</v>
      </c>
    </row>
    <row r="1814" spans="1:19" x14ac:dyDescent="0.25">
      <c r="A1814" s="201"/>
      <c r="B1814" s="182"/>
      <c r="C1814" s="182"/>
      <c r="D1814" s="182"/>
      <c r="E1814" s="182"/>
      <c r="F1814" s="172"/>
      <c r="G1814" s="173"/>
      <c r="H1814" s="172"/>
      <c r="I1814" s="173"/>
      <c r="J1814" s="88"/>
      <c r="K1814" s="88"/>
      <c r="L1814" s="88"/>
      <c r="M1814" s="88" t="s">
        <v>1990</v>
      </c>
      <c r="N1814" s="91">
        <v>630</v>
      </c>
      <c r="O1814" s="1">
        <v>67.712199999999996</v>
      </c>
      <c r="P1814" s="141"/>
      <c r="Q1814" s="141"/>
      <c r="R1814" s="141">
        <f t="shared" si="193"/>
        <v>67.712199999999996</v>
      </c>
      <c r="S1814" s="2">
        <f t="shared" si="198"/>
        <v>0.11682574189095928</v>
      </c>
    </row>
    <row r="1815" spans="1:19" x14ac:dyDescent="0.25">
      <c r="A1815" s="201"/>
      <c r="B1815" s="182"/>
      <c r="C1815" s="182"/>
      <c r="D1815" s="182"/>
      <c r="E1815" s="182"/>
      <c r="F1815" s="172"/>
      <c r="G1815" s="173"/>
      <c r="H1815" s="172"/>
      <c r="I1815" s="173"/>
      <c r="J1815" s="88"/>
      <c r="K1815" s="88"/>
      <c r="L1815" s="88"/>
      <c r="M1815" s="88" t="s">
        <v>1991</v>
      </c>
      <c r="N1815" s="91">
        <v>630</v>
      </c>
      <c r="O1815" s="1">
        <v>203.13660000000002</v>
      </c>
      <c r="P1815" s="141"/>
      <c r="Q1815" s="141"/>
      <c r="R1815" s="141">
        <f t="shared" si="193"/>
        <v>203.13660000000002</v>
      </c>
      <c r="S1815" s="2">
        <f t="shared" si="198"/>
        <v>0.35047722567287787</v>
      </c>
    </row>
    <row r="1816" spans="1:19" x14ac:dyDescent="0.25">
      <c r="A1816" s="201"/>
      <c r="B1816" s="182"/>
      <c r="C1816" s="182"/>
      <c r="D1816" s="182"/>
      <c r="E1816" s="182"/>
      <c r="F1816" s="172"/>
      <c r="G1816" s="173"/>
      <c r="H1816" s="172"/>
      <c r="I1816" s="173"/>
      <c r="J1816" s="88"/>
      <c r="K1816" s="88"/>
      <c r="L1816" s="88"/>
      <c r="M1816" s="88" t="s">
        <v>1992</v>
      </c>
      <c r="N1816" s="91">
        <v>630</v>
      </c>
      <c r="O1816" s="1">
        <v>228.77520000000001</v>
      </c>
      <c r="P1816" s="141"/>
      <c r="Q1816" s="141"/>
      <c r="R1816" s="141">
        <f t="shared" si="193"/>
        <v>228.77520000000001</v>
      </c>
      <c r="S1816" s="2">
        <f t="shared" si="198"/>
        <v>0.394712215320911</v>
      </c>
    </row>
    <row r="1817" spans="1:19" x14ac:dyDescent="0.25">
      <c r="A1817" s="201"/>
      <c r="B1817" s="182"/>
      <c r="C1817" s="182"/>
      <c r="D1817" s="182"/>
      <c r="E1817" s="182"/>
      <c r="F1817" s="172"/>
      <c r="G1817" s="173"/>
      <c r="H1817" s="172"/>
      <c r="I1817" s="173"/>
      <c r="J1817" s="88"/>
      <c r="K1817" s="88"/>
      <c r="L1817" s="88"/>
      <c r="M1817" s="88" t="s">
        <v>1993</v>
      </c>
      <c r="N1817" s="91">
        <v>630</v>
      </c>
      <c r="O1817" s="1">
        <v>176.84059999999999</v>
      </c>
      <c r="P1817" s="141"/>
      <c r="Q1817" s="141"/>
      <c r="R1817" s="141">
        <f t="shared" si="193"/>
        <v>176.84059999999999</v>
      </c>
      <c r="S1817" s="2">
        <f t="shared" si="198"/>
        <v>0.305108005521049</v>
      </c>
    </row>
    <row r="1818" spans="1:19" x14ac:dyDescent="0.25">
      <c r="A1818" s="201"/>
      <c r="B1818" s="182"/>
      <c r="C1818" s="182"/>
      <c r="D1818" s="182"/>
      <c r="E1818" s="182"/>
      <c r="F1818" s="172"/>
      <c r="G1818" s="173"/>
      <c r="H1818" s="172"/>
      <c r="I1818" s="173"/>
      <c r="J1818" s="88"/>
      <c r="K1818" s="88"/>
      <c r="L1818" s="88"/>
      <c r="M1818" s="88" t="s">
        <v>1994</v>
      </c>
      <c r="N1818" s="91">
        <v>1000</v>
      </c>
      <c r="O1818" s="1">
        <v>162</v>
      </c>
      <c r="P1818" s="141"/>
      <c r="Q1818" s="141"/>
      <c r="R1818" s="141">
        <f t="shared" si="193"/>
        <v>162</v>
      </c>
      <c r="S1818" s="2">
        <f t="shared" si="198"/>
        <v>0.17608695652173914</v>
      </c>
    </row>
    <row r="1819" spans="1:19" x14ac:dyDescent="0.25">
      <c r="A1819" s="202"/>
      <c r="B1819" s="182"/>
      <c r="C1819" s="182"/>
      <c r="D1819" s="182"/>
      <c r="E1819" s="182"/>
      <c r="F1819" s="174"/>
      <c r="G1819" s="175"/>
      <c r="H1819" s="172"/>
      <c r="I1819" s="173"/>
      <c r="J1819" s="88"/>
      <c r="K1819" s="88"/>
      <c r="L1819" s="88"/>
      <c r="M1819" s="88" t="s">
        <v>1995</v>
      </c>
      <c r="N1819" s="91">
        <v>1000</v>
      </c>
      <c r="O1819" s="1">
        <v>88.0916</v>
      </c>
      <c r="P1819" s="141"/>
      <c r="Q1819" s="141"/>
      <c r="R1819" s="141">
        <f t="shared" si="193"/>
        <v>88.0916</v>
      </c>
      <c r="S1819" s="2">
        <f t="shared" si="198"/>
        <v>9.5751739130434776E-2</v>
      </c>
    </row>
    <row r="1820" spans="1:19" x14ac:dyDescent="0.25">
      <c r="A1820" s="203">
        <f>A1810+1</f>
        <v>16</v>
      </c>
      <c r="B1820" s="182"/>
      <c r="C1820" s="182"/>
      <c r="D1820" s="182"/>
      <c r="E1820" s="182"/>
      <c r="F1820" s="170" t="s">
        <v>1996</v>
      </c>
      <c r="G1820" s="171"/>
      <c r="H1820" s="172"/>
      <c r="I1820" s="173"/>
      <c r="J1820" s="88">
        <v>0.78</v>
      </c>
      <c r="K1820" s="88"/>
      <c r="L1820" s="88">
        <v>0.61599999999999999</v>
      </c>
      <c r="M1820" s="88" t="s">
        <v>1997</v>
      </c>
      <c r="N1820" s="91">
        <v>1000</v>
      </c>
      <c r="O1820" s="1">
        <f>N1820*0.85*0.5</f>
        <v>425</v>
      </c>
      <c r="P1820" s="141"/>
      <c r="Q1820" s="141"/>
      <c r="R1820" s="141">
        <f t="shared" si="193"/>
        <v>425</v>
      </c>
      <c r="S1820" s="2">
        <f t="shared" si="198"/>
        <v>0.46195652173913043</v>
      </c>
    </row>
    <row r="1821" spans="1:19" x14ac:dyDescent="0.25">
      <c r="A1821" s="201"/>
      <c r="B1821" s="182"/>
      <c r="C1821" s="182"/>
      <c r="D1821" s="182"/>
      <c r="E1821" s="182"/>
      <c r="F1821" s="172"/>
      <c r="G1821" s="173"/>
      <c r="H1821" s="172"/>
      <c r="I1821" s="173"/>
      <c r="J1821" s="88"/>
      <c r="K1821" s="88"/>
      <c r="L1821" s="88"/>
      <c r="M1821" s="88" t="s">
        <v>1998</v>
      </c>
      <c r="N1821" s="91">
        <v>400</v>
      </c>
      <c r="O1821" s="1">
        <f>N1821*0.85*0.52</f>
        <v>176.8</v>
      </c>
      <c r="P1821" s="141"/>
      <c r="Q1821" s="141"/>
      <c r="R1821" s="141">
        <f t="shared" si="193"/>
        <v>176.8</v>
      </c>
      <c r="S1821" s="2">
        <f t="shared" si="198"/>
        <v>0.48043478260869571</v>
      </c>
    </row>
    <row r="1822" spans="1:19" x14ac:dyDescent="0.25">
      <c r="A1822" s="169">
        <f>A1820+1</f>
        <v>17</v>
      </c>
      <c r="B1822" s="182"/>
      <c r="C1822" s="182"/>
      <c r="D1822" s="182"/>
      <c r="E1822" s="182"/>
      <c r="F1822" s="170" t="s">
        <v>1999</v>
      </c>
      <c r="G1822" s="171"/>
      <c r="H1822" s="172"/>
      <c r="I1822" s="173"/>
      <c r="J1822" s="88">
        <v>0.56000000000000005</v>
      </c>
      <c r="K1822" s="88"/>
      <c r="L1822" s="88">
        <v>0.40899999999999997</v>
      </c>
      <c r="M1822" s="88" t="s">
        <v>2000</v>
      </c>
      <c r="N1822" s="91">
        <v>400</v>
      </c>
      <c r="O1822" s="1">
        <f t="shared" ref="O1822" si="199">N1822*0.85*0.2</f>
        <v>68</v>
      </c>
      <c r="P1822" s="141"/>
      <c r="Q1822" s="141"/>
      <c r="R1822" s="141">
        <f t="shared" si="193"/>
        <v>68</v>
      </c>
      <c r="S1822" s="2">
        <f t="shared" si="198"/>
        <v>0.18478260869565216</v>
      </c>
    </row>
    <row r="1823" spans="1:19" x14ac:dyDescent="0.25">
      <c r="A1823" s="169"/>
      <c r="B1823" s="182"/>
      <c r="C1823" s="182"/>
      <c r="D1823" s="182"/>
      <c r="E1823" s="182"/>
      <c r="F1823" s="172"/>
      <c r="G1823" s="173"/>
      <c r="H1823" s="172"/>
      <c r="I1823" s="173"/>
      <c r="J1823" s="71"/>
      <c r="K1823" s="71"/>
      <c r="L1823" s="71"/>
      <c r="M1823" s="71" t="s">
        <v>1997</v>
      </c>
      <c r="N1823" s="61">
        <v>1000</v>
      </c>
      <c r="O1823" s="110">
        <f>N1823*0.85*0.5</f>
        <v>425</v>
      </c>
      <c r="P1823" s="142"/>
      <c r="Q1823" s="142"/>
      <c r="R1823" s="141">
        <f t="shared" si="193"/>
        <v>425</v>
      </c>
      <c r="S1823" s="2">
        <f t="shared" si="198"/>
        <v>0.46195652173913043</v>
      </c>
    </row>
    <row r="1824" spans="1:19" x14ac:dyDescent="0.25">
      <c r="A1824" s="169"/>
      <c r="B1824" s="182"/>
      <c r="C1824" s="182"/>
      <c r="D1824" s="182"/>
      <c r="E1824" s="182"/>
      <c r="F1824" s="172"/>
      <c r="G1824" s="173"/>
      <c r="H1824" s="172"/>
      <c r="I1824" s="173"/>
      <c r="J1824" s="71"/>
      <c r="K1824" s="71"/>
      <c r="L1824" s="71"/>
      <c r="M1824" s="71" t="s">
        <v>2001</v>
      </c>
      <c r="N1824" s="61">
        <v>630</v>
      </c>
      <c r="O1824" s="110">
        <v>330</v>
      </c>
      <c r="P1824" s="142"/>
      <c r="Q1824" s="142"/>
      <c r="R1824" s="141">
        <f t="shared" si="193"/>
        <v>330</v>
      </c>
      <c r="S1824" s="2">
        <f t="shared" si="198"/>
        <v>0.56935817805383016</v>
      </c>
    </row>
    <row r="1825" spans="1:19" x14ac:dyDescent="0.25">
      <c r="A1825" s="201">
        <f>A1822+1</f>
        <v>18</v>
      </c>
      <c r="B1825" s="182"/>
      <c r="C1825" s="182"/>
      <c r="D1825" s="182"/>
      <c r="E1825" s="182"/>
      <c r="F1825" s="170" t="s">
        <v>1879</v>
      </c>
      <c r="G1825" s="171"/>
      <c r="H1825" s="172"/>
      <c r="I1825" s="173"/>
      <c r="J1825" s="88">
        <v>1.88</v>
      </c>
      <c r="K1825" s="88"/>
      <c r="L1825" s="88">
        <v>1.591</v>
      </c>
      <c r="M1825" s="88" t="s">
        <v>2002</v>
      </c>
      <c r="N1825" s="91">
        <v>630</v>
      </c>
      <c r="O1825" s="1">
        <v>225.48820000000001</v>
      </c>
      <c r="P1825" s="141"/>
      <c r="Q1825" s="141"/>
      <c r="R1825" s="141">
        <f t="shared" si="193"/>
        <v>225.48820000000001</v>
      </c>
      <c r="S1825" s="2">
        <f t="shared" si="198"/>
        <v>0.38904106280193235</v>
      </c>
    </row>
    <row r="1826" spans="1:19" x14ac:dyDescent="0.25">
      <c r="A1826" s="201"/>
      <c r="B1826" s="182"/>
      <c r="C1826" s="182"/>
      <c r="D1826" s="182"/>
      <c r="E1826" s="182"/>
      <c r="F1826" s="172"/>
      <c r="G1826" s="173"/>
      <c r="H1826" s="172"/>
      <c r="I1826" s="173"/>
      <c r="J1826" s="88"/>
      <c r="K1826" s="88"/>
      <c r="L1826" s="88"/>
      <c r="M1826" s="88" t="s">
        <v>2003</v>
      </c>
      <c r="N1826" s="91">
        <v>630</v>
      </c>
      <c r="O1826" s="1">
        <v>252.1129</v>
      </c>
      <c r="P1826" s="141"/>
      <c r="Q1826" s="141"/>
      <c r="R1826" s="141">
        <f t="shared" si="193"/>
        <v>252.1129</v>
      </c>
      <c r="S1826" s="2">
        <f t="shared" si="198"/>
        <v>0.43497739820565906</v>
      </c>
    </row>
    <row r="1827" spans="1:19" x14ac:dyDescent="0.25">
      <c r="A1827" s="201"/>
      <c r="B1827" s="182"/>
      <c r="C1827" s="182"/>
      <c r="D1827" s="182"/>
      <c r="E1827" s="182"/>
      <c r="F1827" s="172"/>
      <c r="G1827" s="173"/>
      <c r="H1827" s="172"/>
      <c r="I1827" s="173"/>
      <c r="J1827" s="88"/>
      <c r="K1827" s="88"/>
      <c r="L1827" s="88"/>
      <c r="M1827" s="88" t="s">
        <v>2004</v>
      </c>
      <c r="N1827" s="91">
        <v>630</v>
      </c>
      <c r="O1827" s="1">
        <v>252.44159999999999</v>
      </c>
      <c r="P1827" s="141"/>
      <c r="Q1827" s="141"/>
      <c r="R1827" s="141">
        <f t="shared" si="193"/>
        <v>252.44159999999999</v>
      </c>
      <c r="S1827" s="2">
        <f t="shared" si="198"/>
        <v>0.4355445134575569</v>
      </c>
    </row>
    <row r="1828" spans="1:19" x14ac:dyDescent="0.25">
      <c r="A1828" s="201"/>
      <c r="B1828" s="182"/>
      <c r="C1828" s="182"/>
      <c r="D1828" s="182"/>
      <c r="E1828" s="182"/>
      <c r="F1828" s="172"/>
      <c r="G1828" s="173"/>
      <c r="H1828" s="172"/>
      <c r="I1828" s="173"/>
      <c r="J1828" s="88"/>
      <c r="K1828" s="88"/>
      <c r="L1828" s="88"/>
      <c r="M1828" s="88" t="s">
        <v>2005</v>
      </c>
      <c r="N1828" s="91">
        <v>630</v>
      </c>
      <c r="O1828" s="1">
        <v>276.7654</v>
      </c>
      <c r="P1828" s="141"/>
      <c r="Q1828" s="141"/>
      <c r="R1828" s="141">
        <f t="shared" si="193"/>
        <v>276.7654</v>
      </c>
      <c r="S1828" s="2">
        <f t="shared" si="198"/>
        <v>0.47751104209799861</v>
      </c>
    </row>
    <row r="1829" spans="1:19" x14ac:dyDescent="0.25">
      <c r="A1829" s="201"/>
      <c r="B1829" s="182"/>
      <c r="C1829" s="182"/>
      <c r="D1829" s="182"/>
      <c r="E1829" s="182"/>
      <c r="F1829" s="172"/>
      <c r="G1829" s="173"/>
      <c r="H1829" s="172"/>
      <c r="I1829" s="173"/>
      <c r="J1829" s="88"/>
      <c r="K1829" s="88"/>
      <c r="L1829" s="88"/>
      <c r="M1829" s="88" t="s">
        <v>2006</v>
      </c>
      <c r="N1829" s="91">
        <v>1000</v>
      </c>
      <c r="O1829" s="1">
        <v>331.98700000000002</v>
      </c>
      <c r="P1829" s="141"/>
      <c r="Q1829" s="141"/>
      <c r="R1829" s="141">
        <f t="shared" si="193"/>
        <v>331.98700000000002</v>
      </c>
      <c r="S1829" s="2">
        <f t="shared" si="198"/>
        <v>0.36085543478260873</v>
      </c>
    </row>
    <row r="1830" spans="1:19" x14ac:dyDescent="0.25">
      <c r="A1830" s="201"/>
      <c r="B1830" s="182"/>
      <c r="C1830" s="182"/>
      <c r="D1830" s="182"/>
      <c r="E1830" s="182"/>
      <c r="F1830" s="172"/>
      <c r="G1830" s="173"/>
      <c r="H1830" s="172"/>
      <c r="I1830" s="173"/>
      <c r="J1830" s="88"/>
      <c r="K1830" s="88"/>
      <c r="L1830" s="88"/>
      <c r="M1830" s="88" t="s">
        <v>2007</v>
      </c>
      <c r="N1830" s="91">
        <v>630</v>
      </c>
      <c r="O1830" s="1">
        <v>291.88560000000001</v>
      </c>
      <c r="P1830" s="141"/>
      <c r="Q1830" s="141"/>
      <c r="R1830" s="141">
        <f t="shared" si="193"/>
        <v>291.88560000000001</v>
      </c>
      <c r="S1830" s="2">
        <f t="shared" si="198"/>
        <v>0.50359834368530021</v>
      </c>
    </row>
    <row r="1831" spans="1:19" x14ac:dyDescent="0.25">
      <c r="A1831" s="201"/>
      <c r="B1831" s="182"/>
      <c r="C1831" s="182"/>
      <c r="D1831" s="182"/>
      <c r="E1831" s="182"/>
      <c r="F1831" s="172"/>
      <c r="G1831" s="173"/>
      <c r="H1831" s="172"/>
      <c r="I1831" s="173"/>
      <c r="J1831" s="88"/>
      <c r="K1831" s="88"/>
      <c r="L1831" s="88"/>
      <c r="M1831" s="88" t="s">
        <v>2008</v>
      </c>
      <c r="N1831" s="91">
        <v>1000</v>
      </c>
      <c r="O1831" s="1">
        <v>213.655</v>
      </c>
      <c r="P1831" s="141"/>
      <c r="Q1831" s="141"/>
      <c r="R1831" s="141">
        <f t="shared" si="193"/>
        <v>213.655</v>
      </c>
      <c r="S1831" s="2">
        <f t="shared" si="198"/>
        <v>0.23223369565217392</v>
      </c>
    </row>
    <row r="1832" spans="1:19" x14ac:dyDescent="0.25">
      <c r="A1832" s="201"/>
      <c r="B1832" s="182"/>
      <c r="C1832" s="182"/>
      <c r="D1832" s="182"/>
      <c r="E1832" s="182"/>
      <c r="F1832" s="172"/>
      <c r="G1832" s="173"/>
      <c r="H1832" s="172"/>
      <c r="I1832" s="173"/>
      <c r="J1832" s="88"/>
      <c r="K1832" s="88"/>
      <c r="L1832" s="88"/>
      <c r="M1832" s="88" t="s">
        <v>2009</v>
      </c>
      <c r="N1832" s="91">
        <v>400</v>
      </c>
      <c r="O1832" s="1">
        <v>306.0197</v>
      </c>
      <c r="P1832" s="141"/>
      <c r="Q1832" s="141"/>
      <c r="R1832" s="141">
        <f t="shared" si="193"/>
        <v>306.0197</v>
      </c>
      <c r="S1832" s="2">
        <f t="shared" si="198"/>
        <v>0.83157527173913048</v>
      </c>
    </row>
    <row r="1833" spans="1:19" x14ac:dyDescent="0.25">
      <c r="A1833" s="201"/>
      <c r="B1833" s="182"/>
      <c r="C1833" s="182"/>
      <c r="D1833" s="182"/>
      <c r="E1833" s="182"/>
      <c r="F1833" s="172"/>
      <c r="G1833" s="173"/>
      <c r="H1833" s="172"/>
      <c r="I1833" s="173"/>
      <c r="J1833" s="88"/>
      <c r="K1833" s="88"/>
      <c r="L1833" s="88"/>
      <c r="M1833" s="88" t="s">
        <v>2010</v>
      </c>
      <c r="N1833" s="91">
        <v>1000</v>
      </c>
      <c r="O1833" s="1">
        <v>308.97800000000001</v>
      </c>
      <c r="P1833" s="141"/>
      <c r="Q1833" s="141"/>
      <c r="R1833" s="141">
        <f t="shared" si="193"/>
        <v>308.97800000000001</v>
      </c>
      <c r="S1833" s="2">
        <f t="shared" si="198"/>
        <v>0.33584565217391305</v>
      </c>
    </row>
    <row r="1834" spans="1:19" x14ac:dyDescent="0.25">
      <c r="A1834" s="201"/>
      <c r="B1834" s="182"/>
      <c r="C1834" s="182"/>
      <c r="D1834" s="182"/>
      <c r="E1834" s="182"/>
      <c r="F1834" s="172"/>
      <c r="G1834" s="173"/>
      <c r="H1834" s="172"/>
      <c r="I1834" s="173"/>
      <c r="J1834" s="88"/>
      <c r="K1834" s="88"/>
      <c r="L1834" s="88"/>
      <c r="M1834" s="88" t="s">
        <v>2011</v>
      </c>
      <c r="N1834" s="91">
        <v>1000</v>
      </c>
      <c r="O1834" s="1">
        <v>275.12189999999998</v>
      </c>
      <c r="P1834" s="141"/>
      <c r="Q1834" s="141"/>
      <c r="R1834" s="141">
        <f t="shared" si="193"/>
        <v>275.12189999999998</v>
      </c>
      <c r="S1834" s="2">
        <f t="shared" si="198"/>
        <v>0.29904554347826084</v>
      </c>
    </row>
    <row r="1835" spans="1:19" x14ac:dyDescent="0.25">
      <c r="A1835" s="201"/>
      <c r="B1835" s="182"/>
      <c r="C1835" s="182"/>
      <c r="D1835" s="182"/>
      <c r="E1835" s="182"/>
      <c r="F1835" s="172"/>
      <c r="G1835" s="173"/>
      <c r="H1835" s="172"/>
      <c r="I1835" s="173"/>
      <c r="J1835" s="88"/>
      <c r="K1835" s="88"/>
      <c r="L1835" s="88"/>
      <c r="M1835" s="88" t="s">
        <v>2012</v>
      </c>
      <c r="N1835" s="91">
        <v>630</v>
      </c>
      <c r="O1835" s="1">
        <v>391.15300000000002</v>
      </c>
      <c r="P1835" s="141"/>
      <c r="Q1835" s="141"/>
      <c r="R1835" s="141">
        <f t="shared" si="193"/>
        <v>391.15300000000002</v>
      </c>
      <c r="S1835" s="2">
        <f t="shared" si="198"/>
        <v>0.67486714975845408</v>
      </c>
    </row>
    <row r="1836" spans="1:19" x14ac:dyDescent="0.25">
      <c r="A1836" s="201"/>
      <c r="B1836" s="182"/>
      <c r="C1836" s="182"/>
      <c r="D1836" s="182"/>
      <c r="E1836" s="182"/>
      <c r="F1836" s="172"/>
      <c r="G1836" s="173"/>
      <c r="H1836" s="172"/>
      <c r="I1836" s="173"/>
      <c r="J1836" s="88"/>
      <c r="K1836" s="88"/>
      <c r="L1836" s="88"/>
      <c r="M1836" s="88" t="s">
        <v>2013</v>
      </c>
      <c r="N1836" s="91">
        <v>630</v>
      </c>
      <c r="O1836" s="1">
        <v>240.60839999999999</v>
      </c>
      <c r="P1836" s="141"/>
      <c r="Q1836" s="141"/>
      <c r="R1836" s="141">
        <f t="shared" si="193"/>
        <v>240.60839999999999</v>
      </c>
      <c r="S1836" s="2">
        <f t="shared" si="198"/>
        <v>0.41512836438923389</v>
      </c>
    </row>
    <row r="1837" spans="1:19" x14ac:dyDescent="0.25">
      <c r="A1837" s="201"/>
      <c r="B1837" s="182"/>
      <c r="C1837" s="182"/>
      <c r="D1837" s="182"/>
      <c r="E1837" s="182"/>
      <c r="F1837" s="172"/>
      <c r="G1837" s="173"/>
      <c r="H1837" s="172"/>
      <c r="I1837" s="173"/>
      <c r="J1837" s="88"/>
      <c r="K1837" s="88"/>
      <c r="L1837" s="88"/>
      <c r="M1837" s="88" t="s">
        <v>2014</v>
      </c>
      <c r="N1837" s="91">
        <v>400</v>
      </c>
      <c r="O1837" s="1">
        <v>196.5626</v>
      </c>
      <c r="P1837" s="141"/>
      <c r="Q1837" s="141"/>
      <c r="R1837" s="141">
        <f t="shared" si="193"/>
        <v>196.5626</v>
      </c>
      <c r="S1837" s="2">
        <f t="shared" si="198"/>
        <v>0.53413750000000004</v>
      </c>
    </row>
    <row r="1838" spans="1:19" x14ac:dyDescent="0.25">
      <c r="A1838" s="201"/>
      <c r="B1838" s="182"/>
      <c r="C1838" s="182"/>
      <c r="D1838" s="182"/>
      <c r="E1838" s="182"/>
      <c r="F1838" s="172"/>
      <c r="G1838" s="173"/>
      <c r="H1838" s="172"/>
      <c r="I1838" s="173"/>
      <c r="J1838" s="88"/>
      <c r="K1838" s="88"/>
      <c r="L1838" s="88"/>
      <c r="M1838" s="88" t="s">
        <v>2015</v>
      </c>
      <c r="N1838" s="91">
        <v>400</v>
      </c>
      <c r="O1838" s="1">
        <v>209.7106</v>
      </c>
      <c r="P1838" s="141"/>
      <c r="Q1838" s="141"/>
      <c r="R1838" s="141">
        <f t="shared" si="193"/>
        <v>209.7106</v>
      </c>
      <c r="S1838" s="2">
        <f t="shared" si="198"/>
        <v>0.5698657608695652</v>
      </c>
    </row>
    <row r="1839" spans="1:19" x14ac:dyDescent="0.25">
      <c r="A1839" s="201"/>
      <c r="B1839" s="182"/>
      <c r="C1839" s="182"/>
      <c r="D1839" s="182"/>
      <c r="E1839" s="182"/>
      <c r="F1839" s="172"/>
      <c r="G1839" s="173"/>
      <c r="H1839" s="172"/>
      <c r="I1839" s="173"/>
      <c r="J1839" s="88"/>
      <c r="K1839" s="88"/>
      <c r="L1839" s="88"/>
      <c r="M1839" s="88" t="s">
        <v>2016</v>
      </c>
      <c r="N1839" s="91">
        <v>400</v>
      </c>
      <c r="O1839" s="1">
        <v>174</v>
      </c>
      <c r="P1839" s="141"/>
      <c r="Q1839" s="141"/>
      <c r="R1839" s="141">
        <f t="shared" si="193"/>
        <v>174</v>
      </c>
      <c r="S1839" s="2">
        <f t="shared" si="198"/>
        <v>0.47282608695652173</v>
      </c>
    </row>
    <row r="1840" spans="1:19" x14ac:dyDescent="0.25">
      <c r="A1840" s="201"/>
      <c r="B1840" s="182"/>
      <c r="C1840" s="182"/>
      <c r="D1840" s="182"/>
      <c r="E1840" s="182"/>
      <c r="F1840" s="172"/>
      <c r="G1840" s="173"/>
      <c r="H1840" s="172"/>
      <c r="I1840" s="173"/>
      <c r="J1840" s="71"/>
      <c r="K1840" s="71"/>
      <c r="L1840" s="71"/>
      <c r="M1840" s="71" t="s">
        <v>2017</v>
      </c>
      <c r="N1840" s="61">
        <v>400</v>
      </c>
      <c r="O1840" s="110">
        <v>261</v>
      </c>
      <c r="P1840" s="142"/>
      <c r="Q1840" s="142"/>
      <c r="R1840" s="141">
        <f t="shared" si="193"/>
        <v>261</v>
      </c>
      <c r="S1840" s="2">
        <f t="shared" si="198"/>
        <v>0.70923913043478259</v>
      </c>
    </row>
    <row r="1841" spans="1:19" x14ac:dyDescent="0.25">
      <c r="A1841" s="201"/>
      <c r="B1841" s="182"/>
      <c r="C1841" s="182"/>
      <c r="D1841" s="182"/>
      <c r="E1841" s="182"/>
      <c r="F1841" s="172"/>
      <c r="G1841" s="173"/>
      <c r="H1841" s="172"/>
      <c r="I1841" s="173"/>
      <c r="J1841" s="88"/>
      <c r="K1841" s="88"/>
      <c r="L1841" s="88"/>
      <c r="M1841" s="88" t="s">
        <v>2018</v>
      </c>
      <c r="N1841" s="91">
        <v>400</v>
      </c>
      <c r="O1841" s="1">
        <v>166.9796</v>
      </c>
      <c r="P1841" s="141"/>
      <c r="Q1841" s="141"/>
      <c r="R1841" s="141">
        <f t="shared" si="193"/>
        <v>166.9796</v>
      </c>
      <c r="S1841" s="2">
        <f t="shared" si="198"/>
        <v>0.45374891304347825</v>
      </c>
    </row>
    <row r="1842" spans="1:19" x14ac:dyDescent="0.25">
      <c r="A1842" s="202"/>
      <c r="B1842" s="182"/>
      <c r="C1842" s="182"/>
      <c r="D1842" s="182"/>
      <c r="E1842" s="182"/>
      <c r="F1842" s="174"/>
      <c r="G1842" s="175"/>
      <c r="H1842" s="172"/>
      <c r="I1842" s="173"/>
      <c r="J1842" s="88"/>
      <c r="K1842" s="88"/>
      <c r="L1842" s="88"/>
      <c r="M1842" s="88" t="s">
        <v>2019</v>
      </c>
      <c r="N1842" s="91">
        <v>630</v>
      </c>
      <c r="O1842" s="1">
        <v>169.5</v>
      </c>
      <c r="P1842" s="141"/>
      <c r="Q1842" s="141"/>
      <c r="R1842" s="141">
        <f t="shared" si="193"/>
        <v>169.5</v>
      </c>
      <c r="S1842" s="2">
        <f t="shared" si="198"/>
        <v>0.29244306418219462</v>
      </c>
    </row>
    <row r="1843" spans="1:19" x14ac:dyDescent="0.25">
      <c r="A1843" s="203">
        <f>A1825+1</f>
        <v>19</v>
      </c>
      <c r="B1843" s="182"/>
      <c r="C1843" s="182"/>
      <c r="D1843" s="182"/>
      <c r="E1843" s="182"/>
      <c r="F1843" s="170" t="s">
        <v>2020</v>
      </c>
      <c r="G1843" s="171"/>
      <c r="H1843" s="172"/>
      <c r="I1843" s="173"/>
      <c r="J1843" s="88">
        <v>2.5299999999999998</v>
      </c>
      <c r="K1843" s="88"/>
      <c r="L1843" s="88">
        <v>2.97</v>
      </c>
      <c r="M1843" s="88" t="s">
        <v>2021</v>
      </c>
      <c r="N1843" s="91">
        <v>630</v>
      </c>
      <c r="O1843" s="1">
        <v>225.48820000000001</v>
      </c>
      <c r="P1843" s="141"/>
      <c r="Q1843" s="141"/>
      <c r="R1843" s="141">
        <f t="shared" si="193"/>
        <v>225.48820000000001</v>
      </c>
      <c r="S1843" s="2">
        <f t="shared" si="198"/>
        <v>0.38904106280193235</v>
      </c>
    </row>
    <row r="1844" spans="1:19" x14ac:dyDescent="0.25">
      <c r="A1844" s="201"/>
      <c r="B1844" s="182"/>
      <c r="C1844" s="182"/>
      <c r="D1844" s="182"/>
      <c r="E1844" s="182"/>
      <c r="F1844" s="172"/>
      <c r="G1844" s="173"/>
      <c r="H1844" s="172"/>
      <c r="I1844" s="173"/>
      <c r="J1844" s="88"/>
      <c r="K1844" s="88"/>
      <c r="L1844" s="88"/>
      <c r="M1844" s="88" t="s">
        <v>2022</v>
      </c>
      <c r="N1844" s="91">
        <v>630</v>
      </c>
      <c r="O1844" s="1">
        <v>252.1129</v>
      </c>
      <c r="P1844" s="141"/>
      <c r="Q1844" s="141"/>
      <c r="R1844" s="141">
        <f t="shared" ref="R1844:R1907" si="200">O1844+P1844+Q1844</f>
        <v>252.1129</v>
      </c>
      <c r="S1844" s="2">
        <f t="shared" si="198"/>
        <v>0.43497739820565906</v>
      </c>
    </row>
    <row r="1845" spans="1:19" x14ac:dyDescent="0.25">
      <c r="A1845" s="201"/>
      <c r="B1845" s="182"/>
      <c r="C1845" s="182"/>
      <c r="D1845" s="182"/>
      <c r="E1845" s="182"/>
      <c r="F1845" s="172"/>
      <c r="G1845" s="173"/>
      <c r="H1845" s="172"/>
      <c r="I1845" s="173"/>
      <c r="J1845" s="88"/>
      <c r="K1845" s="88"/>
      <c r="L1845" s="88"/>
      <c r="M1845" s="88" t="s">
        <v>2023</v>
      </c>
      <c r="N1845" s="91">
        <v>630</v>
      </c>
      <c r="O1845" s="1">
        <v>252.44159999999999</v>
      </c>
      <c r="P1845" s="141"/>
      <c r="Q1845" s="141"/>
      <c r="R1845" s="141">
        <f t="shared" si="200"/>
        <v>252.44159999999999</v>
      </c>
      <c r="S1845" s="2">
        <f t="shared" si="198"/>
        <v>0.4355445134575569</v>
      </c>
    </row>
    <row r="1846" spans="1:19" x14ac:dyDescent="0.25">
      <c r="A1846" s="201"/>
      <c r="B1846" s="182"/>
      <c r="C1846" s="182"/>
      <c r="D1846" s="182"/>
      <c r="E1846" s="182"/>
      <c r="F1846" s="172"/>
      <c r="G1846" s="173"/>
      <c r="H1846" s="172"/>
      <c r="I1846" s="173"/>
      <c r="J1846" s="88"/>
      <c r="K1846" s="88"/>
      <c r="L1846" s="88"/>
      <c r="M1846" s="88" t="s">
        <v>2024</v>
      </c>
      <c r="N1846" s="91">
        <v>630</v>
      </c>
      <c r="O1846" s="1">
        <v>276.7654</v>
      </c>
      <c r="P1846" s="141"/>
      <c r="Q1846" s="141"/>
      <c r="R1846" s="141">
        <f t="shared" si="200"/>
        <v>276.7654</v>
      </c>
      <c r="S1846" s="2">
        <f t="shared" si="198"/>
        <v>0.47751104209799861</v>
      </c>
    </row>
    <row r="1847" spans="1:19" x14ac:dyDescent="0.25">
      <c r="A1847" s="201"/>
      <c r="B1847" s="182"/>
      <c r="C1847" s="182"/>
      <c r="D1847" s="182"/>
      <c r="E1847" s="182"/>
      <c r="F1847" s="172"/>
      <c r="G1847" s="173"/>
      <c r="H1847" s="172"/>
      <c r="I1847" s="173"/>
      <c r="J1847" s="88"/>
      <c r="K1847" s="88"/>
      <c r="L1847" s="88"/>
      <c r="M1847" s="88" t="s">
        <v>2025</v>
      </c>
      <c r="N1847" s="91">
        <v>1000</v>
      </c>
      <c r="O1847" s="1">
        <v>331.98700000000002</v>
      </c>
      <c r="P1847" s="141"/>
      <c r="Q1847" s="141"/>
      <c r="R1847" s="141">
        <f t="shared" si="200"/>
        <v>331.98700000000002</v>
      </c>
      <c r="S1847" s="2">
        <f t="shared" si="198"/>
        <v>0.36085543478260873</v>
      </c>
    </row>
    <row r="1848" spans="1:19" x14ac:dyDescent="0.25">
      <c r="A1848" s="201"/>
      <c r="B1848" s="182"/>
      <c r="C1848" s="182"/>
      <c r="D1848" s="182"/>
      <c r="E1848" s="182"/>
      <c r="F1848" s="172"/>
      <c r="G1848" s="173"/>
      <c r="H1848" s="172"/>
      <c r="I1848" s="173"/>
      <c r="J1848" s="88"/>
      <c r="K1848" s="88"/>
      <c r="L1848" s="88"/>
      <c r="M1848" s="88" t="s">
        <v>2026</v>
      </c>
      <c r="N1848" s="91">
        <v>630</v>
      </c>
      <c r="O1848" s="1">
        <v>291.88560000000001</v>
      </c>
      <c r="P1848" s="141"/>
      <c r="Q1848" s="141"/>
      <c r="R1848" s="141">
        <f t="shared" si="200"/>
        <v>291.88560000000001</v>
      </c>
      <c r="S1848" s="2">
        <f t="shared" si="198"/>
        <v>0.50359834368530021</v>
      </c>
    </row>
    <row r="1849" spans="1:19" x14ac:dyDescent="0.25">
      <c r="A1849" s="201"/>
      <c r="B1849" s="182"/>
      <c r="C1849" s="182"/>
      <c r="D1849" s="182"/>
      <c r="E1849" s="182"/>
      <c r="F1849" s="172"/>
      <c r="G1849" s="173"/>
      <c r="H1849" s="172"/>
      <c r="I1849" s="173"/>
      <c r="J1849" s="88"/>
      <c r="K1849" s="88"/>
      <c r="L1849" s="88"/>
      <c r="M1849" s="88" t="s">
        <v>2027</v>
      </c>
      <c r="N1849" s="91">
        <v>400</v>
      </c>
      <c r="O1849" s="1">
        <v>196.5626</v>
      </c>
      <c r="P1849" s="141"/>
      <c r="Q1849" s="141"/>
      <c r="R1849" s="141">
        <f t="shared" si="200"/>
        <v>196.5626</v>
      </c>
      <c r="S1849" s="2">
        <f t="shared" si="198"/>
        <v>0.53413750000000004</v>
      </c>
    </row>
    <row r="1850" spans="1:19" x14ac:dyDescent="0.25">
      <c r="A1850" s="201"/>
      <c r="B1850" s="182"/>
      <c r="C1850" s="182"/>
      <c r="D1850" s="182"/>
      <c r="E1850" s="182"/>
      <c r="F1850" s="172"/>
      <c r="G1850" s="173"/>
      <c r="H1850" s="172"/>
      <c r="I1850" s="173"/>
      <c r="J1850" s="88"/>
      <c r="K1850" s="88"/>
      <c r="L1850" s="88"/>
      <c r="M1850" s="88" t="s">
        <v>2028</v>
      </c>
      <c r="N1850" s="91">
        <v>400</v>
      </c>
      <c r="O1850" s="1">
        <v>209.7106</v>
      </c>
      <c r="P1850" s="141"/>
      <c r="Q1850" s="141"/>
      <c r="R1850" s="141">
        <f t="shared" si="200"/>
        <v>209.7106</v>
      </c>
      <c r="S1850" s="2">
        <f t="shared" si="198"/>
        <v>0.5698657608695652</v>
      </c>
    </row>
    <row r="1851" spans="1:19" x14ac:dyDescent="0.25">
      <c r="A1851" s="201"/>
      <c r="B1851" s="182"/>
      <c r="C1851" s="182"/>
      <c r="D1851" s="182"/>
      <c r="E1851" s="182"/>
      <c r="F1851" s="172"/>
      <c r="G1851" s="173"/>
      <c r="H1851" s="172"/>
      <c r="I1851" s="173"/>
      <c r="J1851" s="88"/>
      <c r="K1851" s="88"/>
      <c r="L1851" s="88"/>
      <c r="M1851" s="88" t="s">
        <v>2029</v>
      </c>
      <c r="N1851" s="91">
        <v>400</v>
      </c>
      <c r="O1851" s="1">
        <v>174</v>
      </c>
      <c r="P1851" s="141"/>
      <c r="Q1851" s="141"/>
      <c r="R1851" s="141">
        <f t="shared" si="200"/>
        <v>174</v>
      </c>
      <c r="S1851" s="2">
        <f t="shared" si="198"/>
        <v>0.47282608695652173</v>
      </c>
    </row>
    <row r="1852" spans="1:19" hidden="1" x14ac:dyDescent="0.25">
      <c r="A1852" s="201"/>
      <c r="B1852" s="182"/>
      <c r="C1852" s="182"/>
      <c r="D1852" s="182"/>
      <c r="E1852" s="182"/>
      <c r="F1852" s="172"/>
      <c r="G1852" s="173"/>
      <c r="H1852" s="172"/>
      <c r="I1852" s="173"/>
      <c r="J1852" s="71"/>
      <c r="K1852" s="71"/>
      <c r="L1852" s="71"/>
      <c r="M1852" s="71" t="s">
        <v>2030</v>
      </c>
      <c r="N1852" s="61">
        <v>400</v>
      </c>
      <c r="O1852" s="110"/>
      <c r="P1852" s="142"/>
      <c r="Q1852" s="142"/>
      <c r="R1852" s="141">
        <f t="shared" si="200"/>
        <v>0</v>
      </c>
      <c r="S1852" s="105"/>
    </row>
    <row r="1853" spans="1:19" x14ac:dyDescent="0.25">
      <c r="A1853" s="201"/>
      <c r="B1853" s="182"/>
      <c r="C1853" s="182"/>
      <c r="D1853" s="182"/>
      <c r="E1853" s="182"/>
      <c r="F1853" s="172"/>
      <c r="G1853" s="173"/>
      <c r="H1853" s="172"/>
      <c r="I1853" s="173"/>
      <c r="J1853" s="88"/>
      <c r="K1853" s="88"/>
      <c r="L1853" s="88"/>
      <c r="M1853" s="88" t="s">
        <v>2031</v>
      </c>
      <c r="N1853" s="91">
        <v>400</v>
      </c>
      <c r="O1853" s="1">
        <v>166.9796</v>
      </c>
      <c r="P1853" s="141"/>
      <c r="Q1853" s="141"/>
      <c r="R1853" s="141">
        <f t="shared" si="200"/>
        <v>166.9796</v>
      </c>
      <c r="S1853" s="2">
        <f t="shared" ref="S1853:S1890" si="201">R1853/(N1853*0.92)</f>
        <v>0.45374891304347825</v>
      </c>
    </row>
    <row r="1854" spans="1:19" x14ac:dyDescent="0.25">
      <c r="A1854" s="201"/>
      <c r="B1854" s="182"/>
      <c r="C1854" s="182"/>
      <c r="D1854" s="182"/>
      <c r="E1854" s="182"/>
      <c r="F1854" s="172"/>
      <c r="G1854" s="173"/>
      <c r="H1854" s="172"/>
      <c r="I1854" s="173"/>
      <c r="J1854" s="88"/>
      <c r="K1854" s="88"/>
      <c r="L1854" s="88"/>
      <c r="M1854" s="88" t="s">
        <v>2032</v>
      </c>
      <c r="N1854" s="91">
        <v>630</v>
      </c>
      <c r="O1854" s="1">
        <v>169.5</v>
      </c>
      <c r="P1854" s="141"/>
      <c r="Q1854" s="141"/>
      <c r="R1854" s="141">
        <f t="shared" si="200"/>
        <v>169.5</v>
      </c>
      <c r="S1854" s="2">
        <f t="shared" si="201"/>
        <v>0.29244306418219462</v>
      </c>
    </row>
    <row r="1855" spans="1:19" x14ac:dyDescent="0.25">
      <c r="A1855" s="203">
        <f>A1843+1</f>
        <v>20</v>
      </c>
      <c r="B1855" s="182"/>
      <c r="C1855" s="182"/>
      <c r="D1855" s="182"/>
      <c r="E1855" s="182"/>
      <c r="F1855" s="170" t="s">
        <v>2033</v>
      </c>
      <c r="G1855" s="171"/>
      <c r="H1855" s="172"/>
      <c r="I1855" s="173"/>
      <c r="J1855" s="88">
        <v>1.72</v>
      </c>
      <c r="K1855" s="88"/>
      <c r="L1855" s="88">
        <v>1.2110000000000001</v>
      </c>
      <c r="M1855" s="88" t="s">
        <v>2034</v>
      </c>
      <c r="N1855" s="91">
        <v>630</v>
      </c>
      <c r="O1855" s="1">
        <v>122.5</v>
      </c>
      <c r="P1855" s="141"/>
      <c r="Q1855" s="141"/>
      <c r="R1855" s="141">
        <f t="shared" si="200"/>
        <v>122.5</v>
      </c>
      <c r="S1855" s="2">
        <f t="shared" si="201"/>
        <v>0.21135265700483091</v>
      </c>
    </row>
    <row r="1856" spans="1:19" x14ac:dyDescent="0.25">
      <c r="A1856" s="201"/>
      <c r="B1856" s="182"/>
      <c r="C1856" s="182"/>
      <c r="D1856" s="182"/>
      <c r="E1856" s="182"/>
      <c r="F1856" s="172"/>
      <c r="G1856" s="173"/>
      <c r="H1856" s="172"/>
      <c r="I1856" s="173"/>
      <c r="J1856" s="88"/>
      <c r="K1856" s="88"/>
      <c r="L1856" s="88"/>
      <c r="M1856" s="88" t="s">
        <v>2035</v>
      </c>
      <c r="N1856" s="91">
        <v>630</v>
      </c>
      <c r="O1856" s="1">
        <v>203.79399999999998</v>
      </c>
      <c r="P1856" s="141"/>
      <c r="Q1856" s="141"/>
      <c r="R1856" s="141">
        <f t="shared" si="200"/>
        <v>203.79399999999998</v>
      </c>
      <c r="S1856" s="2">
        <f t="shared" si="201"/>
        <v>0.3516114561766735</v>
      </c>
    </row>
    <row r="1857" spans="1:19" x14ac:dyDescent="0.25">
      <c r="A1857" s="201"/>
      <c r="B1857" s="182"/>
      <c r="C1857" s="182"/>
      <c r="D1857" s="182"/>
      <c r="E1857" s="182"/>
      <c r="F1857" s="172"/>
      <c r="G1857" s="173"/>
      <c r="H1857" s="172"/>
      <c r="I1857" s="173"/>
      <c r="J1857" s="88"/>
      <c r="K1857" s="88"/>
      <c r="L1857" s="88"/>
      <c r="M1857" s="88" t="s">
        <v>2036</v>
      </c>
      <c r="N1857" s="91">
        <v>1000</v>
      </c>
      <c r="O1857" s="1">
        <v>145.94280000000001</v>
      </c>
      <c r="P1857" s="141"/>
      <c r="Q1857" s="141"/>
      <c r="R1857" s="141">
        <f t="shared" si="200"/>
        <v>145.94280000000001</v>
      </c>
      <c r="S1857" s="2">
        <f t="shared" si="201"/>
        <v>0.15863347826086957</v>
      </c>
    </row>
    <row r="1858" spans="1:19" x14ac:dyDescent="0.25">
      <c r="A1858" s="201"/>
      <c r="B1858" s="182"/>
      <c r="C1858" s="182"/>
      <c r="D1858" s="182"/>
      <c r="E1858" s="182"/>
      <c r="F1858" s="172"/>
      <c r="G1858" s="173"/>
      <c r="H1858" s="172"/>
      <c r="I1858" s="173"/>
      <c r="J1858" s="88"/>
      <c r="K1858" s="88"/>
      <c r="L1858" s="88"/>
      <c r="M1858" s="88" t="s">
        <v>2037</v>
      </c>
      <c r="N1858" s="91">
        <v>1000</v>
      </c>
      <c r="O1858" s="1">
        <v>124.2486</v>
      </c>
      <c r="P1858" s="141"/>
      <c r="Q1858" s="141"/>
      <c r="R1858" s="141">
        <f t="shared" si="200"/>
        <v>124.2486</v>
      </c>
      <c r="S1858" s="2">
        <f t="shared" si="201"/>
        <v>0.13505282608695651</v>
      </c>
    </row>
    <row r="1859" spans="1:19" x14ac:dyDescent="0.25">
      <c r="A1859" s="201"/>
      <c r="B1859" s="182"/>
      <c r="C1859" s="182"/>
      <c r="D1859" s="182"/>
      <c r="E1859" s="182"/>
      <c r="F1859" s="172"/>
      <c r="G1859" s="173"/>
      <c r="H1859" s="172"/>
      <c r="I1859" s="173"/>
      <c r="J1859" s="88"/>
      <c r="K1859" s="88"/>
      <c r="L1859" s="88"/>
      <c r="M1859" s="88" t="s">
        <v>2038</v>
      </c>
      <c r="N1859" s="91">
        <v>630</v>
      </c>
      <c r="O1859" s="1">
        <v>67.712199999999996</v>
      </c>
      <c r="P1859" s="141"/>
      <c r="Q1859" s="141"/>
      <c r="R1859" s="141">
        <f t="shared" si="200"/>
        <v>67.712199999999996</v>
      </c>
      <c r="S1859" s="2">
        <f t="shared" si="201"/>
        <v>0.11682574189095928</v>
      </c>
    </row>
    <row r="1860" spans="1:19" x14ac:dyDescent="0.25">
      <c r="A1860" s="201"/>
      <c r="B1860" s="182"/>
      <c r="C1860" s="182"/>
      <c r="D1860" s="182"/>
      <c r="E1860" s="182"/>
      <c r="F1860" s="172"/>
      <c r="G1860" s="173"/>
      <c r="H1860" s="172"/>
      <c r="I1860" s="173"/>
      <c r="J1860" s="88"/>
      <c r="K1860" s="88"/>
      <c r="L1860" s="88"/>
      <c r="M1860" s="88" t="s">
        <v>2039</v>
      </c>
      <c r="N1860" s="91">
        <v>630</v>
      </c>
      <c r="O1860" s="1">
        <v>203.13660000000002</v>
      </c>
      <c r="P1860" s="141"/>
      <c r="Q1860" s="141"/>
      <c r="R1860" s="141">
        <f t="shared" si="200"/>
        <v>203.13660000000002</v>
      </c>
      <c r="S1860" s="2">
        <f t="shared" si="201"/>
        <v>0.35047722567287787</v>
      </c>
    </row>
    <row r="1861" spans="1:19" x14ac:dyDescent="0.25">
      <c r="A1861" s="201"/>
      <c r="B1861" s="182"/>
      <c r="C1861" s="182"/>
      <c r="D1861" s="182"/>
      <c r="E1861" s="182"/>
      <c r="F1861" s="172"/>
      <c r="G1861" s="173"/>
      <c r="H1861" s="172"/>
      <c r="I1861" s="173"/>
      <c r="J1861" s="88"/>
      <c r="K1861" s="88"/>
      <c r="L1861" s="88"/>
      <c r="M1861" s="88" t="s">
        <v>2040</v>
      </c>
      <c r="N1861" s="91">
        <v>630</v>
      </c>
      <c r="O1861" s="1">
        <v>228.77520000000001</v>
      </c>
      <c r="P1861" s="141"/>
      <c r="Q1861" s="141"/>
      <c r="R1861" s="141">
        <f t="shared" si="200"/>
        <v>228.77520000000001</v>
      </c>
      <c r="S1861" s="2">
        <f t="shared" si="201"/>
        <v>0.394712215320911</v>
      </c>
    </row>
    <row r="1862" spans="1:19" x14ac:dyDescent="0.25">
      <c r="A1862" s="201"/>
      <c r="B1862" s="182"/>
      <c r="C1862" s="182"/>
      <c r="D1862" s="182"/>
      <c r="E1862" s="182"/>
      <c r="F1862" s="172"/>
      <c r="G1862" s="173"/>
      <c r="H1862" s="172"/>
      <c r="I1862" s="173"/>
      <c r="J1862" s="88"/>
      <c r="K1862" s="88"/>
      <c r="L1862" s="88"/>
      <c r="M1862" s="88" t="s">
        <v>2041</v>
      </c>
      <c r="N1862" s="91">
        <v>630</v>
      </c>
      <c r="O1862" s="1">
        <v>176.84059999999999</v>
      </c>
      <c r="P1862" s="141"/>
      <c r="Q1862" s="141"/>
      <c r="R1862" s="141">
        <f t="shared" si="200"/>
        <v>176.84059999999999</v>
      </c>
      <c r="S1862" s="2">
        <f t="shared" si="201"/>
        <v>0.305108005521049</v>
      </c>
    </row>
    <row r="1863" spans="1:19" x14ac:dyDescent="0.25">
      <c r="A1863" s="201"/>
      <c r="B1863" s="182"/>
      <c r="C1863" s="182"/>
      <c r="D1863" s="182"/>
      <c r="E1863" s="182"/>
      <c r="F1863" s="172"/>
      <c r="G1863" s="173"/>
      <c r="H1863" s="172"/>
      <c r="I1863" s="173"/>
      <c r="J1863" s="88"/>
      <c r="K1863" s="88"/>
      <c r="L1863" s="88"/>
      <c r="M1863" s="88" t="s">
        <v>2042</v>
      </c>
      <c r="N1863" s="91">
        <v>1000</v>
      </c>
      <c r="O1863" s="1">
        <v>162</v>
      </c>
      <c r="P1863" s="141"/>
      <c r="Q1863" s="141"/>
      <c r="R1863" s="141">
        <f t="shared" si="200"/>
        <v>162</v>
      </c>
      <c r="S1863" s="2">
        <f t="shared" si="201"/>
        <v>0.17608695652173914</v>
      </c>
    </row>
    <row r="1864" spans="1:19" x14ac:dyDescent="0.25">
      <c r="A1864" s="202"/>
      <c r="B1864" s="182"/>
      <c r="C1864" s="182"/>
      <c r="D1864" s="182"/>
      <c r="E1864" s="182"/>
      <c r="F1864" s="174"/>
      <c r="G1864" s="175"/>
      <c r="H1864" s="172"/>
      <c r="I1864" s="173"/>
      <c r="J1864" s="88"/>
      <c r="K1864" s="88"/>
      <c r="L1864" s="88"/>
      <c r="M1864" s="88" t="s">
        <v>2043</v>
      </c>
      <c r="N1864" s="91">
        <v>1000</v>
      </c>
      <c r="O1864" s="1">
        <v>88.0916</v>
      </c>
      <c r="P1864" s="141"/>
      <c r="Q1864" s="141"/>
      <c r="R1864" s="141">
        <f t="shared" si="200"/>
        <v>88.0916</v>
      </c>
      <c r="S1864" s="2">
        <f t="shared" si="201"/>
        <v>9.5751739130434776E-2</v>
      </c>
    </row>
    <row r="1865" spans="1:19" x14ac:dyDescent="0.25">
      <c r="A1865" s="203">
        <f>A1855+1</f>
        <v>21</v>
      </c>
      <c r="B1865" s="182"/>
      <c r="C1865" s="182"/>
      <c r="D1865" s="182"/>
      <c r="E1865" s="182"/>
      <c r="F1865" s="170" t="s">
        <v>2044</v>
      </c>
      <c r="G1865" s="171"/>
      <c r="H1865" s="172"/>
      <c r="I1865" s="173"/>
      <c r="J1865" s="88">
        <v>3.5</v>
      </c>
      <c r="K1865" s="88"/>
      <c r="L1865" s="88">
        <v>2.56</v>
      </c>
      <c r="M1865" s="88" t="s">
        <v>2045</v>
      </c>
      <c r="N1865" s="91">
        <v>630</v>
      </c>
      <c r="O1865" s="1">
        <v>329.02870000000001</v>
      </c>
      <c r="P1865" s="141"/>
      <c r="Q1865" s="141"/>
      <c r="R1865" s="141">
        <f t="shared" si="200"/>
        <v>329.02870000000001</v>
      </c>
      <c r="S1865" s="2">
        <f t="shared" si="201"/>
        <v>0.5676823671497585</v>
      </c>
    </row>
    <row r="1866" spans="1:19" x14ac:dyDescent="0.25">
      <c r="A1866" s="201"/>
      <c r="B1866" s="182"/>
      <c r="C1866" s="182"/>
      <c r="D1866" s="182"/>
      <c r="E1866" s="182"/>
      <c r="F1866" s="172"/>
      <c r="G1866" s="173"/>
      <c r="H1866" s="172"/>
      <c r="I1866" s="173"/>
      <c r="J1866" s="88"/>
      <c r="K1866" s="88"/>
      <c r="L1866" s="88"/>
      <c r="M1866" s="88" t="s">
        <v>2046</v>
      </c>
      <c r="N1866" s="91">
        <v>630</v>
      </c>
      <c r="O1866" s="1">
        <v>322.78339999999997</v>
      </c>
      <c r="P1866" s="141"/>
      <c r="Q1866" s="141"/>
      <c r="R1866" s="141">
        <f t="shared" si="200"/>
        <v>322.78339999999997</v>
      </c>
      <c r="S1866" s="2">
        <f t="shared" si="201"/>
        <v>0.55690717736369899</v>
      </c>
    </row>
    <row r="1867" spans="1:19" x14ac:dyDescent="0.25">
      <c r="A1867" s="201"/>
      <c r="B1867" s="182"/>
      <c r="C1867" s="182"/>
      <c r="D1867" s="182"/>
      <c r="E1867" s="182"/>
      <c r="F1867" s="172"/>
      <c r="G1867" s="173"/>
      <c r="H1867" s="172"/>
      <c r="I1867" s="173"/>
      <c r="J1867" s="88"/>
      <c r="K1867" s="88"/>
      <c r="L1867" s="88"/>
      <c r="M1867" s="88" t="s">
        <v>2047</v>
      </c>
      <c r="N1867" s="91">
        <v>400</v>
      </c>
      <c r="O1867" s="1">
        <v>176.1832</v>
      </c>
      <c r="P1867" s="141"/>
      <c r="Q1867" s="141"/>
      <c r="R1867" s="141">
        <f t="shared" si="200"/>
        <v>176.1832</v>
      </c>
      <c r="S1867" s="2">
        <f t="shared" si="201"/>
        <v>0.47875869565217394</v>
      </c>
    </row>
    <row r="1868" spans="1:19" x14ac:dyDescent="0.25">
      <c r="A1868" s="201"/>
      <c r="B1868" s="182"/>
      <c r="C1868" s="182"/>
      <c r="D1868" s="182"/>
      <c r="E1868" s="182"/>
      <c r="F1868" s="172"/>
      <c r="G1868" s="173"/>
      <c r="H1868" s="172"/>
      <c r="I1868" s="173"/>
      <c r="J1868" s="88"/>
      <c r="K1868" s="88"/>
      <c r="L1868" s="88"/>
      <c r="M1868" s="88" t="s">
        <v>2048</v>
      </c>
      <c r="N1868" s="91">
        <v>630</v>
      </c>
      <c r="O1868" s="1">
        <v>378.005</v>
      </c>
      <c r="P1868" s="141"/>
      <c r="Q1868" s="141"/>
      <c r="R1868" s="141">
        <f t="shared" si="200"/>
        <v>378.005</v>
      </c>
      <c r="S1868" s="2">
        <f t="shared" si="201"/>
        <v>0.6521825396825397</v>
      </c>
    </row>
    <row r="1869" spans="1:19" x14ac:dyDescent="0.25">
      <c r="A1869" s="201"/>
      <c r="B1869" s="182"/>
      <c r="C1869" s="182"/>
      <c r="D1869" s="182"/>
      <c r="E1869" s="182"/>
      <c r="F1869" s="172"/>
      <c r="G1869" s="173"/>
      <c r="H1869" s="172"/>
      <c r="I1869" s="173"/>
      <c r="J1869" s="88"/>
      <c r="K1869" s="88"/>
      <c r="L1869" s="88"/>
      <c r="M1869" s="88" t="s">
        <v>2049</v>
      </c>
      <c r="N1869" s="91">
        <v>630</v>
      </c>
      <c r="O1869" s="1">
        <v>298.1309</v>
      </c>
      <c r="P1869" s="141"/>
      <c r="Q1869" s="141"/>
      <c r="R1869" s="141">
        <f t="shared" si="200"/>
        <v>298.1309</v>
      </c>
      <c r="S1869" s="2">
        <f t="shared" si="201"/>
        <v>0.5143735334713595</v>
      </c>
    </row>
    <row r="1870" spans="1:19" x14ac:dyDescent="0.25">
      <c r="A1870" s="201"/>
      <c r="B1870" s="182"/>
      <c r="C1870" s="182"/>
      <c r="D1870" s="182"/>
      <c r="E1870" s="182"/>
      <c r="F1870" s="172"/>
      <c r="G1870" s="173"/>
      <c r="H1870" s="172"/>
      <c r="I1870" s="173"/>
      <c r="J1870" s="88"/>
      <c r="K1870" s="88"/>
      <c r="L1870" s="88"/>
      <c r="M1870" s="88" t="s">
        <v>2050</v>
      </c>
      <c r="N1870" s="91">
        <v>630</v>
      </c>
      <c r="O1870" s="1">
        <v>366.50049999999999</v>
      </c>
      <c r="P1870" s="141"/>
      <c r="Q1870" s="141"/>
      <c r="R1870" s="141">
        <f t="shared" si="200"/>
        <v>366.50049999999999</v>
      </c>
      <c r="S1870" s="2">
        <f t="shared" si="201"/>
        <v>0.63233350586611448</v>
      </c>
    </row>
    <row r="1871" spans="1:19" x14ac:dyDescent="0.25">
      <c r="A1871" s="201"/>
      <c r="B1871" s="182"/>
      <c r="C1871" s="182"/>
      <c r="D1871" s="182"/>
      <c r="E1871" s="182"/>
      <c r="F1871" s="172"/>
      <c r="G1871" s="173"/>
      <c r="H1871" s="172"/>
      <c r="I1871" s="173"/>
      <c r="J1871" s="88"/>
      <c r="K1871" s="88"/>
      <c r="L1871" s="88"/>
      <c r="M1871" s="88" t="s">
        <v>2051</v>
      </c>
      <c r="N1871" s="91">
        <v>630</v>
      </c>
      <c r="O1871" s="1">
        <v>105</v>
      </c>
      <c r="P1871" s="141"/>
      <c r="Q1871" s="141"/>
      <c r="R1871" s="141">
        <f t="shared" si="200"/>
        <v>105</v>
      </c>
      <c r="S1871" s="2">
        <f t="shared" si="201"/>
        <v>0.18115942028985507</v>
      </c>
    </row>
    <row r="1872" spans="1:19" x14ac:dyDescent="0.25">
      <c r="A1872" s="201"/>
      <c r="B1872" s="182"/>
      <c r="C1872" s="182"/>
      <c r="D1872" s="182"/>
      <c r="E1872" s="182"/>
      <c r="F1872" s="172"/>
      <c r="G1872" s="173"/>
      <c r="H1872" s="172"/>
      <c r="I1872" s="173"/>
      <c r="J1872" s="88"/>
      <c r="K1872" s="88"/>
      <c r="L1872" s="88"/>
      <c r="M1872" s="88" t="s">
        <v>2052</v>
      </c>
      <c r="N1872" s="91">
        <v>400</v>
      </c>
      <c r="O1872" s="1">
        <v>161.39169999999999</v>
      </c>
      <c r="P1872" s="141"/>
      <c r="Q1872" s="141"/>
      <c r="R1872" s="141">
        <f t="shared" si="200"/>
        <v>161.39169999999999</v>
      </c>
      <c r="S1872" s="2">
        <f t="shared" si="201"/>
        <v>0.43856440217391301</v>
      </c>
    </row>
    <row r="1873" spans="1:19" x14ac:dyDescent="0.25">
      <c r="A1873" s="201"/>
      <c r="B1873" s="182"/>
      <c r="C1873" s="182"/>
      <c r="D1873" s="182"/>
      <c r="E1873" s="182"/>
      <c r="F1873" s="172"/>
      <c r="G1873" s="173"/>
      <c r="H1873" s="172"/>
      <c r="I1873" s="173"/>
      <c r="J1873" s="88"/>
      <c r="K1873" s="88"/>
      <c r="L1873" s="88"/>
      <c r="M1873" s="88" t="s">
        <v>2053</v>
      </c>
      <c r="N1873" s="91">
        <v>1000</v>
      </c>
      <c r="O1873" s="1">
        <v>147.91499999999999</v>
      </c>
      <c r="P1873" s="141"/>
      <c r="Q1873" s="141"/>
      <c r="R1873" s="141">
        <f t="shared" si="200"/>
        <v>147.91499999999999</v>
      </c>
      <c r="S1873" s="2">
        <f t="shared" si="201"/>
        <v>0.16077717391304347</v>
      </c>
    </row>
    <row r="1874" spans="1:19" x14ac:dyDescent="0.25">
      <c r="A1874" s="201"/>
      <c r="B1874" s="182"/>
      <c r="C1874" s="182"/>
      <c r="D1874" s="182"/>
      <c r="E1874" s="182"/>
      <c r="F1874" s="172"/>
      <c r="G1874" s="173"/>
      <c r="H1874" s="172"/>
      <c r="I1874" s="173"/>
      <c r="J1874" s="88"/>
      <c r="K1874" s="88"/>
      <c r="L1874" s="88"/>
      <c r="M1874" s="88" t="s">
        <v>2054</v>
      </c>
      <c r="N1874" s="91">
        <v>630</v>
      </c>
      <c r="O1874" s="1">
        <v>327.71390000000002</v>
      </c>
      <c r="P1874" s="141"/>
      <c r="Q1874" s="141"/>
      <c r="R1874" s="141">
        <f t="shared" si="200"/>
        <v>327.71390000000002</v>
      </c>
      <c r="S1874" s="2">
        <f t="shared" si="201"/>
        <v>0.56541390614216702</v>
      </c>
    </row>
    <row r="1875" spans="1:19" x14ac:dyDescent="0.25">
      <c r="A1875" s="201"/>
      <c r="B1875" s="182"/>
      <c r="C1875" s="182"/>
      <c r="D1875" s="182"/>
      <c r="E1875" s="182"/>
      <c r="F1875" s="172"/>
      <c r="G1875" s="173"/>
      <c r="H1875" s="172"/>
      <c r="I1875" s="173"/>
      <c r="J1875" s="88"/>
      <c r="K1875" s="88"/>
      <c r="L1875" s="88"/>
      <c r="M1875" s="88" t="s">
        <v>2055</v>
      </c>
      <c r="N1875" s="91">
        <v>630</v>
      </c>
      <c r="O1875" s="1">
        <v>404.30099999999999</v>
      </c>
      <c r="P1875" s="141"/>
      <c r="Q1875" s="141"/>
      <c r="R1875" s="141">
        <f t="shared" si="200"/>
        <v>404.30099999999999</v>
      </c>
      <c r="S1875" s="2">
        <f t="shared" si="201"/>
        <v>0.69755175983436846</v>
      </c>
    </row>
    <row r="1876" spans="1:19" x14ac:dyDescent="0.25">
      <c r="A1876" s="201"/>
      <c r="B1876" s="182"/>
      <c r="C1876" s="182"/>
      <c r="D1876" s="182"/>
      <c r="E1876" s="182"/>
      <c r="F1876" s="172"/>
      <c r="G1876" s="173"/>
      <c r="H1876" s="172"/>
      <c r="I1876" s="173"/>
      <c r="J1876" s="88"/>
      <c r="K1876" s="88"/>
      <c r="L1876" s="88"/>
      <c r="M1876" s="88" t="s">
        <v>2056</v>
      </c>
      <c r="N1876" s="91">
        <v>630</v>
      </c>
      <c r="O1876" s="1">
        <v>311.93630000000002</v>
      </c>
      <c r="P1876" s="141"/>
      <c r="Q1876" s="141"/>
      <c r="R1876" s="141">
        <f t="shared" si="200"/>
        <v>311.93630000000002</v>
      </c>
      <c r="S1876" s="2">
        <f t="shared" si="201"/>
        <v>0.53819237405106968</v>
      </c>
    </row>
    <row r="1877" spans="1:19" x14ac:dyDescent="0.25">
      <c r="A1877" s="202"/>
      <c r="B1877" s="182"/>
      <c r="C1877" s="182"/>
      <c r="D1877" s="182"/>
      <c r="E1877" s="182"/>
      <c r="F1877" s="174"/>
      <c r="G1877" s="175"/>
      <c r="H1877" s="172"/>
      <c r="I1877" s="173"/>
      <c r="J1877" s="88"/>
      <c r="K1877" s="88"/>
      <c r="L1877" s="88"/>
      <c r="M1877" s="88" t="s">
        <v>2057</v>
      </c>
      <c r="N1877" s="91">
        <v>630</v>
      </c>
      <c r="O1877" s="1">
        <v>377.67630000000003</v>
      </c>
      <c r="P1877" s="141"/>
      <c r="Q1877" s="141"/>
      <c r="R1877" s="141">
        <f t="shared" si="200"/>
        <v>377.67630000000003</v>
      </c>
      <c r="S1877" s="2">
        <f t="shared" si="201"/>
        <v>0.6516154244306418</v>
      </c>
    </row>
    <row r="1878" spans="1:19" x14ac:dyDescent="0.25">
      <c r="A1878" s="203">
        <f>A1865+1</f>
        <v>22</v>
      </c>
      <c r="B1878" s="182"/>
      <c r="C1878" s="182"/>
      <c r="D1878" s="182"/>
      <c r="E1878" s="182"/>
      <c r="F1878" s="170" t="s">
        <v>2058</v>
      </c>
      <c r="G1878" s="171"/>
      <c r="H1878" s="172"/>
      <c r="I1878" s="173"/>
      <c r="J1878" s="88">
        <v>2.96</v>
      </c>
      <c r="K1878" s="88"/>
      <c r="L1878" s="88">
        <v>2.1539999999999999</v>
      </c>
      <c r="M1878" s="88" t="s">
        <v>2059</v>
      </c>
      <c r="N1878" s="91">
        <v>630</v>
      </c>
      <c r="O1878" s="1">
        <v>329.02870000000001</v>
      </c>
      <c r="P1878" s="141"/>
      <c r="Q1878" s="141"/>
      <c r="R1878" s="141">
        <f t="shared" si="200"/>
        <v>329.02870000000001</v>
      </c>
      <c r="S1878" s="2">
        <f t="shared" si="201"/>
        <v>0.5676823671497585</v>
      </c>
    </row>
    <row r="1879" spans="1:19" x14ac:dyDescent="0.25">
      <c r="A1879" s="201"/>
      <c r="B1879" s="182"/>
      <c r="C1879" s="182"/>
      <c r="D1879" s="182"/>
      <c r="E1879" s="182"/>
      <c r="F1879" s="172"/>
      <c r="G1879" s="173"/>
      <c r="H1879" s="172"/>
      <c r="I1879" s="173"/>
      <c r="J1879" s="88"/>
      <c r="K1879" s="88"/>
      <c r="L1879" s="88"/>
      <c r="M1879" s="88" t="s">
        <v>2060</v>
      </c>
      <c r="N1879" s="91">
        <v>630</v>
      </c>
      <c r="O1879" s="1">
        <v>322.78339999999997</v>
      </c>
      <c r="P1879" s="141"/>
      <c r="Q1879" s="141"/>
      <c r="R1879" s="141">
        <f t="shared" si="200"/>
        <v>322.78339999999997</v>
      </c>
      <c r="S1879" s="2">
        <f t="shared" si="201"/>
        <v>0.55690717736369899</v>
      </c>
    </row>
    <row r="1880" spans="1:19" x14ac:dyDescent="0.25">
      <c r="A1880" s="201"/>
      <c r="B1880" s="182"/>
      <c r="C1880" s="182"/>
      <c r="D1880" s="182"/>
      <c r="E1880" s="182"/>
      <c r="F1880" s="172"/>
      <c r="G1880" s="173"/>
      <c r="H1880" s="172"/>
      <c r="I1880" s="173"/>
      <c r="J1880" s="88"/>
      <c r="K1880" s="88"/>
      <c r="L1880" s="88"/>
      <c r="M1880" s="88" t="s">
        <v>2061</v>
      </c>
      <c r="N1880" s="91">
        <v>400</v>
      </c>
      <c r="O1880" s="1">
        <v>176.1832</v>
      </c>
      <c r="P1880" s="141"/>
      <c r="Q1880" s="141"/>
      <c r="R1880" s="141">
        <f t="shared" si="200"/>
        <v>176.1832</v>
      </c>
      <c r="S1880" s="2">
        <f t="shared" si="201"/>
        <v>0.47875869565217394</v>
      </c>
    </row>
    <row r="1881" spans="1:19" x14ac:dyDescent="0.25">
      <c r="A1881" s="201"/>
      <c r="B1881" s="182"/>
      <c r="C1881" s="182"/>
      <c r="D1881" s="182"/>
      <c r="E1881" s="182"/>
      <c r="F1881" s="172"/>
      <c r="G1881" s="173"/>
      <c r="H1881" s="172"/>
      <c r="I1881" s="173"/>
      <c r="J1881" s="88"/>
      <c r="K1881" s="88"/>
      <c r="L1881" s="88"/>
      <c r="M1881" s="88" t="s">
        <v>2062</v>
      </c>
      <c r="N1881" s="91">
        <v>630</v>
      </c>
      <c r="O1881" s="1">
        <v>378.005</v>
      </c>
      <c r="P1881" s="141"/>
      <c r="Q1881" s="141"/>
      <c r="R1881" s="141">
        <f t="shared" si="200"/>
        <v>378.005</v>
      </c>
      <c r="S1881" s="2">
        <f t="shared" si="201"/>
        <v>0.6521825396825397</v>
      </c>
    </row>
    <row r="1882" spans="1:19" x14ac:dyDescent="0.25">
      <c r="A1882" s="201"/>
      <c r="B1882" s="182"/>
      <c r="C1882" s="182"/>
      <c r="D1882" s="182"/>
      <c r="E1882" s="182"/>
      <c r="F1882" s="172"/>
      <c r="G1882" s="173"/>
      <c r="H1882" s="172"/>
      <c r="I1882" s="173"/>
      <c r="J1882" s="88"/>
      <c r="K1882" s="88"/>
      <c r="L1882" s="88"/>
      <c r="M1882" s="88" t="s">
        <v>2063</v>
      </c>
      <c r="N1882" s="91">
        <v>630</v>
      </c>
      <c r="O1882" s="1">
        <v>298.1309</v>
      </c>
      <c r="P1882" s="141"/>
      <c r="Q1882" s="141"/>
      <c r="R1882" s="141">
        <f t="shared" si="200"/>
        <v>298.1309</v>
      </c>
      <c r="S1882" s="2">
        <f t="shared" si="201"/>
        <v>0.5143735334713595</v>
      </c>
    </row>
    <row r="1883" spans="1:19" x14ac:dyDescent="0.25">
      <c r="A1883" s="201"/>
      <c r="B1883" s="182"/>
      <c r="C1883" s="182"/>
      <c r="D1883" s="182"/>
      <c r="E1883" s="182"/>
      <c r="F1883" s="172"/>
      <c r="G1883" s="173"/>
      <c r="H1883" s="172"/>
      <c r="I1883" s="173"/>
      <c r="J1883" s="88"/>
      <c r="K1883" s="88"/>
      <c r="L1883" s="88"/>
      <c r="M1883" s="88" t="s">
        <v>2064</v>
      </c>
      <c r="N1883" s="91">
        <v>630</v>
      </c>
      <c r="O1883" s="1">
        <v>366.50049999999999</v>
      </c>
      <c r="P1883" s="141"/>
      <c r="Q1883" s="141"/>
      <c r="R1883" s="141">
        <f t="shared" si="200"/>
        <v>366.50049999999999</v>
      </c>
      <c r="S1883" s="2">
        <f t="shared" si="201"/>
        <v>0.63233350586611448</v>
      </c>
    </row>
    <row r="1884" spans="1:19" x14ac:dyDescent="0.25">
      <c r="A1884" s="201"/>
      <c r="B1884" s="182"/>
      <c r="C1884" s="182"/>
      <c r="D1884" s="182"/>
      <c r="E1884" s="182"/>
      <c r="F1884" s="172"/>
      <c r="G1884" s="173"/>
      <c r="H1884" s="172"/>
      <c r="I1884" s="173"/>
      <c r="J1884" s="88"/>
      <c r="K1884" s="88"/>
      <c r="L1884" s="88"/>
      <c r="M1884" s="88" t="s">
        <v>2065</v>
      </c>
      <c r="N1884" s="91">
        <v>630</v>
      </c>
      <c r="O1884" s="1">
        <v>105</v>
      </c>
      <c r="P1884" s="141"/>
      <c r="Q1884" s="141"/>
      <c r="R1884" s="141">
        <f t="shared" si="200"/>
        <v>105</v>
      </c>
      <c r="S1884" s="2">
        <f t="shared" si="201"/>
        <v>0.18115942028985507</v>
      </c>
    </row>
    <row r="1885" spans="1:19" x14ac:dyDescent="0.25">
      <c r="A1885" s="201"/>
      <c r="B1885" s="182"/>
      <c r="C1885" s="182"/>
      <c r="D1885" s="182"/>
      <c r="E1885" s="182"/>
      <c r="F1885" s="172"/>
      <c r="G1885" s="173"/>
      <c r="H1885" s="172"/>
      <c r="I1885" s="173"/>
      <c r="J1885" s="88"/>
      <c r="K1885" s="88"/>
      <c r="L1885" s="88"/>
      <c r="M1885" s="88" t="s">
        <v>2066</v>
      </c>
      <c r="N1885" s="91">
        <v>400</v>
      </c>
      <c r="O1885" s="1">
        <v>161.39169999999999</v>
      </c>
      <c r="P1885" s="141"/>
      <c r="Q1885" s="141"/>
      <c r="R1885" s="141">
        <f t="shared" si="200"/>
        <v>161.39169999999999</v>
      </c>
      <c r="S1885" s="2">
        <f t="shared" si="201"/>
        <v>0.43856440217391301</v>
      </c>
    </row>
    <row r="1886" spans="1:19" x14ac:dyDescent="0.25">
      <c r="A1886" s="201"/>
      <c r="B1886" s="182"/>
      <c r="C1886" s="182"/>
      <c r="D1886" s="182"/>
      <c r="E1886" s="182"/>
      <c r="F1886" s="172"/>
      <c r="G1886" s="173"/>
      <c r="H1886" s="172"/>
      <c r="I1886" s="173"/>
      <c r="J1886" s="88"/>
      <c r="K1886" s="88"/>
      <c r="L1886" s="88"/>
      <c r="M1886" s="88" t="s">
        <v>2067</v>
      </c>
      <c r="N1886" s="91">
        <v>1000</v>
      </c>
      <c r="O1886" s="1">
        <v>147.91499999999999</v>
      </c>
      <c r="P1886" s="141"/>
      <c r="Q1886" s="141"/>
      <c r="R1886" s="141">
        <f t="shared" si="200"/>
        <v>147.91499999999999</v>
      </c>
      <c r="S1886" s="2">
        <f t="shared" si="201"/>
        <v>0.16077717391304347</v>
      </c>
    </row>
    <row r="1887" spans="1:19" x14ac:dyDescent="0.25">
      <c r="A1887" s="201"/>
      <c r="B1887" s="182"/>
      <c r="C1887" s="182"/>
      <c r="D1887" s="182"/>
      <c r="E1887" s="182"/>
      <c r="F1887" s="172"/>
      <c r="G1887" s="173"/>
      <c r="H1887" s="172"/>
      <c r="I1887" s="173"/>
      <c r="J1887" s="88"/>
      <c r="K1887" s="88"/>
      <c r="L1887" s="88"/>
      <c r="M1887" s="88" t="s">
        <v>2068</v>
      </c>
      <c r="N1887" s="91">
        <v>630</v>
      </c>
      <c r="O1887" s="1">
        <v>327.71390000000002</v>
      </c>
      <c r="P1887" s="141"/>
      <c r="Q1887" s="141"/>
      <c r="R1887" s="141">
        <f t="shared" si="200"/>
        <v>327.71390000000002</v>
      </c>
      <c r="S1887" s="2">
        <f t="shared" si="201"/>
        <v>0.56541390614216702</v>
      </c>
    </row>
    <row r="1888" spans="1:19" x14ac:dyDescent="0.25">
      <c r="A1888" s="201"/>
      <c r="B1888" s="182"/>
      <c r="C1888" s="182"/>
      <c r="D1888" s="182"/>
      <c r="E1888" s="182"/>
      <c r="F1888" s="172"/>
      <c r="G1888" s="173"/>
      <c r="H1888" s="172"/>
      <c r="I1888" s="173"/>
      <c r="J1888" s="88"/>
      <c r="K1888" s="88"/>
      <c r="L1888" s="88"/>
      <c r="M1888" s="88" t="s">
        <v>2069</v>
      </c>
      <c r="N1888" s="91">
        <v>630</v>
      </c>
      <c r="O1888" s="1">
        <v>404.30099999999999</v>
      </c>
      <c r="P1888" s="141"/>
      <c r="Q1888" s="141"/>
      <c r="R1888" s="141">
        <f t="shared" si="200"/>
        <v>404.30099999999999</v>
      </c>
      <c r="S1888" s="2">
        <f t="shared" si="201"/>
        <v>0.69755175983436846</v>
      </c>
    </row>
    <row r="1889" spans="1:19" x14ac:dyDescent="0.25">
      <c r="A1889" s="201"/>
      <c r="B1889" s="182"/>
      <c r="C1889" s="182"/>
      <c r="D1889" s="182"/>
      <c r="E1889" s="182"/>
      <c r="F1889" s="172"/>
      <c r="G1889" s="173"/>
      <c r="H1889" s="172"/>
      <c r="I1889" s="173"/>
      <c r="J1889" s="88"/>
      <c r="K1889" s="88"/>
      <c r="L1889" s="88"/>
      <c r="M1889" s="88" t="s">
        <v>2070</v>
      </c>
      <c r="N1889" s="91">
        <v>630</v>
      </c>
      <c r="O1889" s="1">
        <v>311.93630000000002</v>
      </c>
      <c r="P1889" s="141"/>
      <c r="Q1889" s="141"/>
      <c r="R1889" s="141">
        <f t="shared" si="200"/>
        <v>311.93630000000002</v>
      </c>
      <c r="S1889" s="2">
        <f t="shared" si="201"/>
        <v>0.53819237405106968</v>
      </c>
    </row>
    <row r="1890" spans="1:19" x14ac:dyDescent="0.25">
      <c r="A1890" s="202"/>
      <c r="B1890" s="182"/>
      <c r="C1890" s="182"/>
      <c r="D1890" s="182"/>
      <c r="E1890" s="182"/>
      <c r="F1890" s="174"/>
      <c r="G1890" s="175"/>
      <c r="H1890" s="172"/>
      <c r="I1890" s="173"/>
      <c r="J1890" s="88"/>
      <c r="K1890" s="88"/>
      <c r="L1890" s="88"/>
      <c r="M1890" s="88" t="s">
        <v>2071</v>
      </c>
      <c r="N1890" s="91">
        <v>630</v>
      </c>
      <c r="O1890" s="1">
        <v>377.67630000000003</v>
      </c>
      <c r="P1890" s="141"/>
      <c r="Q1890" s="141"/>
      <c r="R1890" s="141">
        <f t="shared" si="200"/>
        <v>377.67630000000003</v>
      </c>
      <c r="S1890" s="2">
        <f t="shared" si="201"/>
        <v>0.6516154244306418</v>
      </c>
    </row>
    <row r="1891" spans="1:19" hidden="1" x14ac:dyDescent="0.25">
      <c r="A1891" s="203">
        <f>A1878+1</f>
        <v>23</v>
      </c>
      <c r="B1891" s="182"/>
      <c r="C1891" s="182"/>
      <c r="D1891" s="182"/>
      <c r="E1891" s="182"/>
      <c r="F1891" s="170" t="s">
        <v>2072</v>
      </c>
      <c r="G1891" s="171"/>
      <c r="H1891" s="172"/>
      <c r="I1891" s="173"/>
      <c r="J1891" s="88">
        <v>1.54</v>
      </c>
      <c r="K1891" s="88"/>
      <c r="L1891" s="88">
        <v>1.093</v>
      </c>
      <c r="M1891" s="88" t="s">
        <v>2073</v>
      </c>
      <c r="N1891" s="91">
        <v>0</v>
      </c>
      <c r="O1891" s="1">
        <v>0</v>
      </c>
      <c r="P1891" s="141"/>
      <c r="Q1891" s="141"/>
      <c r="R1891" s="141">
        <f t="shared" si="200"/>
        <v>0</v>
      </c>
      <c r="S1891" s="109">
        <v>0</v>
      </c>
    </row>
    <row r="1892" spans="1:19" x14ac:dyDescent="0.25">
      <c r="A1892" s="201"/>
      <c r="B1892" s="182"/>
      <c r="C1892" s="182"/>
      <c r="D1892" s="182"/>
      <c r="E1892" s="182"/>
      <c r="F1892" s="172"/>
      <c r="G1892" s="173"/>
      <c r="H1892" s="172"/>
      <c r="I1892" s="173"/>
      <c r="J1892" s="88"/>
      <c r="K1892" s="88"/>
      <c r="L1892" s="88"/>
      <c r="M1892" s="88" t="s">
        <v>2074</v>
      </c>
      <c r="N1892" s="91">
        <v>630</v>
      </c>
      <c r="O1892" s="1">
        <v>331.98700000000002</v>
      </c>
      <c r="P1892" s="141"/>
      <c r="Q1892" s="141"/>
      <c r="R1892" s="141">
        <f t="shared" si="200"/>
        <v>331.98700000000002</v>
      </c>
      <c r="S1892" s="2">
        <f t="shared" ref="S1892:S1894" si="202">R1892/(N1892*0.92)</f>
        <v>0.57278640441683926</v>
      </c>
    </row>
    <row r="1893" spans="1:19" x14ac:dyDescent="0.25">
      <c r="A1893" s="201"/>
      <c r="B1893" s="182"/>
      <c r="C1893" s="182"/>
      <c r="D1893" s="182"/>
      <c r="E1893" s="182"/>
      <c r="F1893" s="172"/>
      <c r="G1893" s="173"/>
      <c r="H1893" s="172"/>
      <c r="I1893" s="173"/>
      <c r="J1893" s="88"/>
      <c r="K1893" s="88"/>
      <c r="L1893" s="88"/>
      <c r="M1893" s="88" t="s">
        <v>2075</v>
      </c>
      <c r="N1893" s="91">
        <v>630</v>
      </c>
      <c r="O1893" s="1">
        <v>121.5</v>
      </c>
      <c r="P1893" s="141"/>
      <c r="Q1893" s="141"/>
      <c r="R1893" s="141">
        <f t="shared" si="200"/>
        <v>121.5</v>
      </c>
      <c r="S1893" s="2">
        <f t="shared" si="202"/>
        <v>0.20962732919254656</v>
      </c>
    </row>
    <row r="1894" spans="1:19" x14ac:dyDescent="0.25">
      <c r="A1894" s="202"/>
      <c r="B1894" s="182"/>
      <c r="C1894" s="182"/>
      <c r="D1894" s="182"/>
      <c r="E1894" s="182"/>
      <c r="F1894" s="174"/>
      <c r="G1894" s="175"/>
      <c r="H1894" s="172"/>
      <c r="I1894" s="173"/>
      <c r="J1894" s="88"/>
      <c r="K1894" s="88"/>
      <c r="L1894" s="88"/>
      <c r="M1894" s="88" t="s">
        <v>2076</v>
      </c>
      <c r="N1894" s="91">
        <v>400</v>
      </c>
      <c r="O1894" s="1">
        <v>125</v>
      </c>
      <c r="P1894" s="141"/>
      <c r="Q1894" s="141"/>
      <c r="R1894" s="141">
        <f t="shared" si="200"/>
        <v>125</v>
      </c>
      <c r="S1894" s="2">
        <f t="shared" si="202"/>
        <v>0.33967391304347827</v>
      </c>
    </row>
    <row r="1895" spans="1:19" hidden="1" x14ac:dyDescent="0.25">
      <c r="A1895" s="201">
        <f>A1891+1</f>
        <v>24</v>
      </c>
      <c r="B1895" s="182"/>
      <c r="C1895" s="182"/>
      <c r="D1895" s="182"/>
      <c r="E1895" s="182"/>
      <c r="F1895" s="170" t="s">
        <v>2077</v>
      </c>
      <c r="G1895" s="171"/>
      <c r="H1895" s="172"/>
      <c r="I1895" s="173"/>
      <c r="J1895" s="88">
        <v>2.34</v>
      </c>
      <c r="K1895" s="88"/>
      <c r="L1895" s="88">
        <v>1.49</v>
      </c>
      <c r="M1895" s="88" t="s">
        <v>2078</v>
      </c>
      <c r="N1895" s="91">
        <v>0</v>
      </c>
      <c r="O1895" s="1">
        <v>0</v>
      </c>
      <c r="P1895" s="141"/>
      <c r="Q1895" s="141"/>
      <c r="R1895" s="141">
        <f t="shared" si="200"/>
        <v>0</v>
      </c>
      <c r="S1895" s="109">
        <v>0</v>
      </c>
    </row>
    <row r="1896" spans="1:19" x14ac:dyDescent="0.25">
      <c r="A1896" s="201"/>
      <c r="B1896" s="182"/>
      <c r="C1896" s="182"/>
      <c r="D1896" s="182"/>
      <c r="E1896" s="182"/>
      <c r="F1896" s="172"/>
      <c r="G1896" s="173"/>
      <c r="H1896" s="172"/>
      <c r="I1896" s="173"/>
      <c r="J1896" s="88"/>
      <c r="K1896" s="88"/>
      <c r="L1896" s="88"/>
      <c r="M1896" s="88" t="s">
        <v>2079</v>
      </c>
      <c r="N1896" s="91">
        <v>630</v>
      </c>
      <c r="O1896" s="1">
        <v>158</v>
      </c>
      <c r="P1896" s="141"/>
      <c r="Q1896" s="141"/>
      <c r="R1896" s="141">
        <f t="shared" si="200"/>
        <v>158</v>
      </c>
      <c r="S1896" s="2">
        <f t="shared" ref="S1896:S1907" si="203">R1896/(N1896*0.92)</f>
        <v>0.27260179434092474</v>
      </c>
    </row>
    <row r="1897" spans="1:19" x14ac:dyDescent="0.25">
      <c r="A1897" s="201"/>
      <c r="B1897" s="182"/>
      <c r="C1897" s="182"/>
      <c r="D1897" s="182"/>
      <c r="E1897" s="182"/>
      <c r="F1897" s="172"/>
      <c r="G1897" s="173"/>
      <c r="H1897" s="172"/>
      <c r="I1897" s="173"/>
      <c r="J1897" s="88"/>
      <c r="K1897" s="88"/>
      <c r="L1897" s="88"/>
      <c r="M1897" s="88" t="s">
        <v>2080</v>
      </c>
      <c r="N1897" s="91">
        <v>630</v>
      </c>
      <c r="O1897" s="1">
        <v>121.5</v>
      </c>
      <c r="P1897" s="141"/>
      <c r="Q1897" s="141"/>
      <c r="R1897" s="141">
        <f t="shared" si="200"/>
        <v>121.5</v>
      </c>
      <c r="S1897" s="2">
        <f t="shared" si="203"/>
        <v>0.20962732919254656</v>
      </c>
    </row>
    <row r="1898" spans="1:19" x14ac:dyDescent="0.25">
      <c r="A1898" s="202"/>
      <c r="B1898" s="182"/>
      <c r="C1898" s="182"/>
      <c r="D1898" s="182"/>
      <c r="E1898" s="182"/>
      <c r="F1898" s="174"/>
      <c r="G1898" s="175"/>
      <c r="H1898" s="172"/>
      <c r="I1898" s="173"/>
      <c r="J1898" s="88"/>
      <c r="K1898" s="88"/>
      <c r="L1898" s="88"/>
      <c r="M1898" s="88" t="s">
        <v>2081</v>
      </c>
      <c r="N1898" s="91">
        <v>400</v>
      </c>
      <c r="O1898" s="1">
        <v>125</v>
      </c>
      <c r="P1898" s="141"/>
      <c r="Q1898" s="141"/>
      <c r="R1898" s="141">
        <f t="shared" si="200"/>
        <v>125</v>
      </c>
      <c r="S1898" s="2">
        <f t="shared" si="203"/>
        <v>0.33967391304347827</v>
      </c>
    </row>
    <row r="1899" spans="1:19" x14ac:dyDescent="0.25">
      <c r="A1899" s="203">
        <f>A1895+1</f>
        <v>25</v>
      </c>
      <c r="B1899" s="182"/>
      <c r="C1899" s="182"/>
      <c r="D1899" s="182"/>
      <c r="E1899" s="182"/>
      <c r="F1899" s="170" t="s">
        <v>2082</v>
      </c>
      <c r="G1899" s="171"/>
      <c r="H1899" s="172"/>
      <c r="I1899" s="173"/>
      <c r="J1899" s="88">
        <v>0.12</v>
      </c>
      <c r="K1899" s="88"/>
      <c r="L1899" s="88">
        <v>0.161</v>
      </c>
      <c r="M1899" s="88" t="s">
        <v>2083</v>
      </c>
      <c r="N1899" s="91">
        <v>630</v>
      </c>
      <c r="O1899" s="1">
        <v>210.0393</v>
      </c>
      <c r="P1899" s="141"/>
      <c r="Q1899" s="141"/>
      <c r="R1899" s="141">
        <f t="shared" si="200"/>
        <v>210.0393</v>
      </c>
      <c r="S1899" s="2">
        <f t="shared" si="203"/>
        <v>0.3623866459627329</v>
      </c>
    </row>
    <row r="1900" spans="1:19" x14ac:dyDescent="0.25">
      <c r="A1900" s="202"/>
      <c r="B1900" s="182"/>
      <c r="C1900" s="182"/>
      <c r="D1900" s="182"/>
      <c r="E1900" s="182"/>
      <c r="F1900" s="174"/>
      <c r="G1900" s="175"/>
      <c r="H1900" s="172"/>
      <c r="I1900" s="173"/>
      <c r="J1900" s="88"/>
      <c r="K1900" s="88"/>
      <c r="L1900" s="88"/>
      <c r="M1900" s="88" t="s">
        <v>2084</v>
      </c>
      <c r="N1900" s="91">
        <v>630</v>
      </c>
      <c r="O1900" s="1">
        <v>156.13249999999999</v>
      </c>
      <c r="P1900" s="141"/>
      <c r="Q1900" s="141"/>
      <c r="R1900" s="141">
        <f t="shared" si="200"/>
        <v>156.13249999999999</v>
      </c>
      <c r="S1900" s="2">
        <f t="shared" si="203"/>
        <v>0.26937974465148373</v>
      </c>
    </row>
    <row r="1901" spans="1:19" x14ac:dyDescent="0.25">
      <c r="A1901" s="203">
        <f>A1899+1</f>
        <v>26</v>
      </c>
      <c r="B1901" s="182"/>
      <c r="C1901" s="182"/>
      <c r="D1901" s="182"/>
      <c r="E1901" s="182"/>
      <c r="F1901" s="170" t="s">
        <v>2085</v>
      </c>
      <c r="G1901" s="171"/>
      <c r="H1901" s="172"/>
      <c r="I1901" s="173"/>
      <c r="J1901" s="88">
        <v>0.23</v>
      </c>
      <c r="K1901" s="88"/>
      <c r="L1901" s="88">
        <v>0.155</v>
      </c>
      <c r="M1901" s="88" t="s">
        <v>2086</v>
      </c>
      <c r="N1901" s="91">
        <v>630</v>
      </c>
      <c r="O1901" s="1">
        <v>210.0393</v>
      </c>
      <c r="P1901" s="141"/>
      <c r="Q1901" s="141"/>
      <c r="R1901" s="141">
        <f t="shared" si="200"/>
        <v>210.0393</v>
      </c>
      <c r="S1901" s="2">
        <f t="shared" si="203"/>
        <v>0.3623866459627329</v>
      </c>
    </row>
    <row r="1902" spans="1:19" x14ac:dyDescent="0.25">
      <c r="A1902" s="202"/>
      <c r="B1902" s="182"/>
      <c r="C1902" s="182"/>
      <c r="D1902" s="182"/>
      <c r="E1902" s="182"/>
      <c r="F1902" s="174"/>
      <c r="G1902" s="175"/>
      <c r="H1902" s="172"/>
      <c r="I1902" s="173"/>
      <c r="J1902" s="88"/>
      <c r="K1902" s="88"/>
      <c r="L1902" s="88"/>
      <c r="M1902" s="88" t="s">
        <v>2087</v>
      </c>
      <c r="N1902" s="91">
        <v>630</v>
      </c>
      <c r="O1902" s="1">
        <v>156.13249999999999</v>
      </c>
      <c r="P1902" s="141"/>
      <c r="Q1902" s="141"/>
      <c r="R1902" s="141">
        <f t="shared" si="200"/>
        <v>156.13249999999999</v>
      </c>
      <c r="S1902" s="2">
        <f t="shared" si="203"/>
        <v>0.26937974465148373</v>
      </c>
    </row>
    <row r="1903" spans="1:19" x14ac:dyDescent="0.25">
      <c r="A1903" s="169">
        <f>A1901+1</f>
        <v>27</v>
      </c>
      <c r="B1903" s="182"/>
      <c r="C1903" s="182"/>
      <c r="D1903" s="182"/>
      <c r="E1903" s="182"/>
      <c r="F1903" s="170" t="s">
        <v>2088</v>
      </c>
      <c r="G1903" s="171"/>
      <c r="H1903" s="172"/>
      <c r="I1903" s="173"/>
      <c r="J1903" s="88">
        <v>1.73</v>
      </c>
      <c r="K1903" s="88"/>
      <c r="L1903" s="88">
        <v>1.6579999999999999</v>
      </c>
      <c r="M1903" s="88" t="s">
        <v>2089</v>
      </c>
      <c r="N1903" s="91">
        <v>630</v>
      </c>
      <c r="O1903" s="1">
        <v>240.60839999999999</v>
      </c>
      <c r="P1903" s="141"/>
      <c r="Q1903" s="141"/>
      <c r="R1903" s="141">
        <f t="shared" si="200"/>
        <v>240.60839999999999</v>
      </c>
      <c r="S1903" s="2">
        <f t="shared" si="203"/>
        <v>0.41512836438923389</v>
      </c>
    </row>
    <row r="1904" spans="1:19" x14ac:dyDescent="0.25">
      <c r="A1904" s="169"/>
      <c r="B1904" s="182"/>
      <c r="C1904" s="182"/>
      <c r="D1904" s="182"/>
      <c r="E1904" s="182"/>
      <c r="F1904" s="172"/>
      <c r="G1904" s="173"/>
      <c r="H1904" s="172"/>
      <c r="I1904" s="173"/>
      <c r="J1904" s="88"/>
      <c r="K1904" s="88"/>
      <c r="L1904" s="88"/>
      <c r="M1904" s="88" t="s">
        <v>2090</v>
      </c>
      <c r="N1904" s="91">
        <v>630</v>
      </c>
      <c r="O1904" s="1">
        <v>250.46940000000001</v>
      </c>
      <c r="P1904" s="141"/>
      <c r="Q1904" s="141"/>
      <c r="R1904" s="141">
        <f t="shared" si="200"/>
        <v>250.46940000000001</v>
      </c>
      <c r="S1904" s="2">
        <f t="shared" si="203"/>
        <v>0.43214182194616979</v>
      </c>
    </row>
    <row r="1905" spans="1:19" x14ac:dyDescent="0.25">
      <c r="A1905" s="169"/>
      <c r="B1905" s="182"/>
      <c r="C1905" s="182"/>
      <c r="D1905" s="182"/>
      <c r="E1905" s="182"/>
      <c r="F1905" s="172"/>
      <c r="G1905" s="173"/>
      <c r="H1905" s="172"/>
      <c r="I1905" s="173"/>
      <c r="J1905" s="88"/>
      <c r="K1905" s="88"/>
      <c r="L1905" s="88"/>
      <c r="M1905" s="88" t="s">
        <v>2091</v>
      </c>
      <c r="N1905" s="91">
        <v>630</v>
      </c>
      <c r="O1905" s="1">
        <v>357</v>
      </c>
      <c r="P1905" s="141"/>
      <c r="Q1905" s="141"/>
      <c r="R1905" s="141">
        <f t="shared" si="200"/>
        <v>357</v>
      </c>
      <c r="S1905" s="2">
        <f t="shared" si="203"/>
        <v>0.61594202898550721</v>
      </c>
    </row>
    <row r="1906" spans="1:19" x14ac:dyDescent="0.25">
      <c r="A1906" s="169"/>
      <c r="B1906" s="182"/>
      <c r="C1906" s="182"/>
      <c r="D1906" s="182"/>
      <c r="E1906" s="182"/>
      <c r="F1906" s="172"/>
      <c r="G1906" s="173"/>
      <c r="H1906" s="172"/>
      <c r="I1906" s="173"/>
      <c r="J1906" s="88"/>
      <c r="K1906" s="88"/>
      <c r="L1906" s="88"/>
      <c r="M1906" s="88" t="s">
        <v>2092</v>
      </c>
      <c r="N1906" s="91">
        <v>630</v>
      </c>
      <c r="O1906" s="1">
        <v>480</v>
      </c>
      <c r="P1906" s="141"/>
      <c r="Q1906" s="141"/>
      <c r="R1906" s="141">
        <f t="shared" si="200"/>
        <v>480</v>
      </c>
      <c r="S1906" s="2">
        <f t="shared" si="203"/>
        <v>0.82815734989648027</v>
      </c>
    </row>
    <row r="1907" spans="1:19" x14ac:dyDescent="0.25">
      <c r="A1907" s="169"/>
      <c r="B1907" s="182"/>
      <c r="C1907" s="182"/>
      <c r="D1907" s="182"/>
      <c r="E1907" s="182"/>
      <c r="F1907" s="172"/>
      <c r="G1907" s="173"/>
      <c r="H1907" s="172"/>
      <c r="I1907" s="173"/>
      <c r="J1907" s="71"/>
      <c r="K1907" s="71"/>
      <c r="L1907" s="71"/>
      <c r="M1907" s="71" t="s">
        <v>2093</v>
      </c>
      <c r="N1907" s="61">
        <v>1260</v>
      </c>
      <c r="O1907" s="110">
        <v>148</v>
      </c>
      <c r="P1907" s="142"/>
      <c r="Q1907" s="142"/>
      <c r="R1907" s="141">
        <f t="shared" si="200"/>
        <v>148</v>
      </c>
      <c r="S1907" s="2">
        <f t="shared" si="203"/>
        <v>0.12767425810904071</v>
      </c>
    </row>
    <row r="1908" spans="1:19" hidden="1" x14ac:dyDescent="0.25">
      <c r="A1908" s="169"/>
      <c r="B1908" s="182"/>
      <c r="C1908" s="182"/>
      <c r="D1908" s="182"/>
      <c r="E1908" s="182"/>
      <c r="F1908" s="172"/>
      <c r="G1908" s="173"/>
      <c r="H1908" s="172"/>
      <c r="I1908" s="173"/>
      <c r="J1908" s="71"/>
      <c r="K1908" s="71"/>
      <c r="L1908" s="71"/>
      <c r="M1908" s="71" t="s">
        <v>2094</v>
      </c>
      <c r="N1908" s="61">
        <v>250</v>
      </c>
      <c r="O1908" s="110"/>
      <c r="P1908" s="142"/>
      <c r="Q1908" s="142"/>
      <c r="R1908" s="141">
        <f t="shared" ref="R1908:R1912" si="204">O1908+P1908+Q1908</f>
        <v>0</v>
      </c>
      <c r="S1908" s="105"/>
    </row>
    <row r="1909" spans="1:19" x14ac:dyDescent="0.25">
      <c r="A1909" s="201">
        <f>A1903+1</f>
        <v>28</v>
      </c>
      <c r="B1909" s="182"/>
      <c r="C1909" s="182"/>
      <c r="D1909" s="182"/>
      <c r="E1909" s="182"/>
      <c r="F1909" s="170" t="s">
        <v>2095</v>
      </c>
      <c r="G1909" s="171"/>
      <c r="H1909" s="172"/>
      <c r="I1909" s="173"/>
      <c r="J1909" s="88">
        <v>0.93</v>
      </c>
      <c r="K1909" s="88"/>
      <c r="L1909" s="88">
        <v>0.49399999999999999</v>
      </c>
      <c r="M1909" s="88" t="s">
        <v>2096</v>
      </c>
      <c r="N1909" s="91">
        <v>630</v>
      </c>
      <c r="O1909" s="1">
        <v>240.60839999999999</v>
      </c>
      <c r="P1909" s="141"/>
      <c r="Q1909" s="141"/>
      <c r="R1909" s="141">
        <f t="shared" si="204"/>
        <v>240.60839999999999</v>
      </c>
      <c r="S1909" s="2">
        <f t="shared" ref="S1909:S1911" si="205">R1909/(N1909*0.92)</f>
        <v>0.41512836438923389</v>
      </c>
    </row>
    <row r="1910" spans="1:19" x14ac:dyDescent="0.25">
      <c r="A1910" s="201"/>
      <c r="B1910" s="182"/>
      <c r="C1910" s="182"/>
      <c r="D1910" s="182"/>
      <c r="E1910" s="182"/>
      <c r="F1910" s="172"/>
      <c r="G1910" s="173"/>
      <c r="H1910" s="172"/>
      <c r="I1910" s="173"/>
      <c r="J1910" s="88"/>
      <c r="K1910" s="88"/>
      <c r="L1910" s="88"/>
      <c r="M1910" s="88" t="s">
        <v>2097</v>
      </c>
      <c r="N1910" s="91">
        <v>630</v>
      </c>
      <c r="O1910" s="1">
        <v>250.46940000000001</v>
      </c>
      <c r="P1910" s="141"/>
      <c r="Q1910" s="141"/>
      <c r="R1910" s="141">
        <f t="shared" si="204"/>
        <v>250.46940000000001</v>
      </c>
      <c r="S1910" s="2">
        <f t="shared" si="205"/>
        <v>0.43214182194616979</v>
      </c>
    </row>
    <row r="1911" spans="1:19" x14ac:dyDescent="0.25">
      <c r="A1911" s="201"/>
      <c r="B1911" s="182"/>
      <c r="C1911" s="182"/>
      <c r="D1911" s="182"/>
      <c r="E1911" s="182"/>
      <c r="F1911" s="172"/>
      <c r="G1911" s="173"/>
      <c r="H1911" s="172"/>
      <c r="I1911" s="173"/>
      <c r="J1911" s="71"/>
      <c r="K1911" s="71"/>
      <c r="L1911" s="71"/>
      <c r="M1911" s="71" t="s">
        <v>2098</v>
      </c>
      <c r="N1911" s="61">
        <v>1260</v>
      </c>
      <c r="O1911" s="110">
        <v>148</v>
      </c>
      <c r="P1911" s="142"/>
      <c r="Q1911" s="142"/>
      <c r="R1911" s="141">
        <f t="shared" si="204"/>
        <v>148</v>
      </c>
      <c r="S1911" s="2">
        <f t="shared" si="205"/>
        <v>0.12767425810904071</v>
      </c>
    </row>
    <row r="1912" spans="1:19" hidden="1" x14ac:dyDescent="0.25">
      <c r="A1912" s="201"/>
      <c r="B1912" s="182"/>
      <c r="C1912" s="182"/>
      <c r="D1912" s="182"/>
      <c r="E1912" s="182"/>
      <c r="F1912" s="172"/>
      <c r="G1912" s="173"/>
      <c r="H1912" s="172"/>
      <c r="I1912" s="173"/>
      <c r="J1912" s="71"/>
      <c r="K1912" s="71"/>
      <c r="L1912" s="71"/>
      <c r="M1912" s="71" t="s">
        <v>2099</v>
      </c>
      <c r="N1912" s="61">
        <v>250</v>
      </c>
      <c r="O1912" s="110"/>
      <c r="P1912" s="142"/>
      <c r="Q1912" s="142"/>
      <c r="R1912" s="141">
        <f t="shared" si="204"/>
        <v>0</v>
      </c>
      <c r="S1912" s="105"/>
    </row>
    <row r="1913" spans="1:19" hidden="1" x14ac:dyDescent="0.25">
      <c r="A1913" s="89"/>
      <c r="B1913" s="237" t="s">
        <v>2100</v>
      </c>
      <c r="C1913" s="237"/>
      <c r="D1913" s="237"/>
      <c r="E1913" s="237"/>
      <c r="F1913" s="237"/>
      <c r="G1913" s="237"/>
      <c r="H1913" s="237"/>
      <c r="I1913" s="237"/>
      <c r="J1913" s="111">
        <f>SUM(J1715:J1912)</f>
        <v>33</v>
      </c>
      <c r="K1913" s="88"/>
      <c r="L1913" s="88">
        <f>SUM(L1715:L1912)</f>
        <v>24.569000000000003</v>
      </c>
      <c r="M1913" s="88" t="s">
        <v>2101</v>
      </c>
      <c r="N1913" s="91"/>
      <c r="O1913" s="61"/>
      <c r="P1913" s="140"/>
      <c r="Q1913" s="140"/>
      <c r="R1913" s="140"/>
      <c r="S1913" s="59"/>
    </row>
    <row r="1914" spans="1:19" x14ac:dyDescent="0.25">
      <c r="A1914" s="89">
        <f>A1909+1</f>
        <v>29</v>
      </c>
      <c r="B1914" s="169" t="s">
        <v>2102</v>
      </c>
      <c r="C1914" s="169" t="s">
        <v>2103</v>
      </c>
      <c r="D1914" s="169" t="s">
        <v>2102</v>
      </c>
      <c r="E1914" s="169"/>
      <c r="F1914" s="169" t="s">
        <v>2104</v>
      </c>
      <c r="G1914" s="169"/>
      <c r="H1914" s="169" t="s">
        <v>709</v>
      </c>
      <c r="I1914" s="169"/>
      <c r="J1914" s="88">
        <v>6.3</v>
      </c>
      <c r="K1914" s="88"/>
      <c r="L1914" s="88">
        <v>0.42</v>
      </c>
      <c r="M1914" s="88"/>
      <c r="N1914" s="91">
        <v>6300</v>
      </c>
      <c r="O1914" s="91">
        <v>800</v>
      </c>
      <c r="P1914" s="122"/>
      <c r="Q1914" s="122"/>
      <c r="R1914" s="122">
        <f>O1914+P1914+Q1914</f>
        <v>800</v>
      </c>
      <c r="S1914" s="2">
        <f t="shared" ref="S1914:S1927" si="206">R1914/(N1914*0.92)</f>
        <v>0.13802622498274672</v>
      </c>
    </row>
    <row r="1915" spans="1:19" x14ac:dyDescent="0.25">
      <c r="A1915" s="89">
        <f>A1914+1</f>
        <v>30</v>
      </c>
      <c r="B1915" s="169"/>
      <c r="C1915" s="169"/>
      <c r="D1915" s="169"/>
      <c r="E1915" s="169"/>
      <c r="F1915" s="169" t="s">
        <v>2105</v>
      </c>
      <c r="G1915" s="169"/>
      <c r="H1915" s="169"/>
      <c r="I1915" s="169"/>
      <c r="J1915" s="88">
        <v>6.3</v>
      </c>
      <c r="K1915" s="88"/>
      <c r="L1915" s="111">
        <v>0.47249999999999998</v>
      </c>
      <c r="M1915" s="88"/>
      <c r="N1915" s="91">
        <v>6300</v>
      </c>
      <c r="O1915" s="91">
        <v>800</v>
      </c>
      <c r="P1915" s="122"/>
      <c r="Q1915" s="122"/>
      <c r="R1915" s="122">
        <f t="shared" ref="R1915:R1927" si="207">O1915+P1915+Q1915</f>
        <v>800</v>
      </c>
      <c r="S1915" s="2">
        <f t="shared" si="206"/>
        <v>0.13802622498274672</v>
      </c>
    </row>
    <row r="1916" spans="1:19" x14ac:dyDescent="0.25">
      <c r="A1916" s="89">
        <f t="shared" ref="A1916:A1927" si="208">A1915+1</f>
        <v>31</v>
      </c>
      <c r="B1916" s="169"/>
      <c r="C1916" s="169" t="s">
        <v>2106</v>
      </c>
      <c r="D1916" s="169" t="s">
        <v>2102</v>
      </c>
      <c r="E1916" s="169"/>
      <c r="F1916" s="169" t="s">
        <v>2107</v>
      </c>
      <c r="G1916" s="169"/>
      <c r="H1916" s="169"/>
      <c r="I1916" s="169"/>
      <c r="J1916" s="88">
        <v>0.4</v>
      </c>
      <c r="K1916" s="88"/>
      <c r="L1916" s="111">
        <v>2.46E-2</v>
      </c>
      <c r="M1916" s="111"/>
      <c r="N1916" s="91">
        <v>400</v>
      </c>
      <c r="O1916" s="91">
        <v>45</v>
      </c>
      <c r="P1916" s="122"/>
      <c r="Q1916" s="122"/>
      <c r="R1916" s="122">
        <f t="shared" si="207"/>
        <v>45</v>
      </c>
      <c r="S1916" s="2">
        <f t="shared" si="206"/>
        <v>0.12228260869565218</v>
      </c>
    </row>
    <row r="1917" spans="1:19" x14ac:dyDescent="0.25">
      <c r="A1917" s="89">
        <f t="shared" si="208"/>
        <v>32</v>
      </c>
      <c r="B1917" s="169"/>
      <c r="C1917" s="169"/>
      <c r="D1917" s="169"/>
      <c r="E1917" s="169"/>
      <c r="F1917" s="169" t="s">
        <v>2108</v>
      </c>
      <c r="G1917" s="169"/>
      <c r="H1917" s="169"/>
      <c r="I1917" s="169"/>
      <c r="J1917" s="88">
        <v>0.4</v>
      </c>
      <c r="K1917" s="88"/>
      <c r="L1917" s="111">
        <v>8.7300000000000003E-2</v>
      </c>
      <c r="M1917" s="111" t="s">
        <v>2109</v>
      </c>
      <c r="N1917" s="91">
        <v>400</v>
      </c>
      <c r="O1917" s="91">
        <v>45</v>
      </c>
      <c r="P1917" s="122"/>
      <c r="Q1917" s="122"/>
      <c r="R1917" s="122">
        <f t="shared" si="207"/>
        <v>45</v>
      </c>
      <c r="S1917" s="2">
        <f t="shared" si="206"/>
        <v>0.12228260869565218</v>
      </c>
    </row>
    <row r="1918" spans="1:19" x14ac:dyDescent="0.25">
      <c r="A1918" s="89">
        <f t="shared" si="208"/>
        <v>33</v>
      </c>
      <c r="B1918" s="169"/>
      <c r="C1918" s="169"/>
      <c r="D1918" s="169"/>
      <c r="E1918" s="169"/>
      <c r="F1918" s="169" t="s">
        <v>2110</v>
      </c>
      <c r="G1918" s="169"/>
      <c r="H1918" s="169"/>
      <c r="I1918" s="169"/>
      <c r="J1918" s="88">
        <v>0.4</v>
      </c>
      <c r="K1918" s="88"/>
      <c r="L1918" s="111">
        <v>3.0700000000000002E-2</v>
      </c>
      <c r="M1918" s="111" t="s">
        <v>2111</v>
      </c>
      <c r="N1918" s="91">
        <v>400</v>
      </c>
      <c r="O1918" s="91">
        <v>51.5</v>
      </c>
      <c r="P1918" s="122"/>
      <c r="Q1918" s="122"/>
      <c r="R1918" s="122">
        <f t="shared" si="207"/>
        <v>51.5</v>
      </c>
      <c r="S1918" s="2">
        <f t="shared" si="206"/>
        <v>0.13994565217391305</v>
      </c>
    </row>
    <row r="1919" spans="1:19" x14ac:dyDescent="0.25">
      <c r="A1919" s="89">
        <f t="shared" si="208"/>
        <v>34</v>
      </c>
      <c r="B1919" s="169"/>
      <c r="C1919" s="169"/>
      <c r="D1919" s="169"/>
      <c r="E1919" s="169"/>
      <c r="F1919" s="169" t="s">
        <v>2112</v>
      </c>
      <c r="G1919" s="169"/>
      <c r="H1919" s="169"/>
      <c r="I1919" s="169"/>
      <c r="J1919" s="88">
        <v>0.4</v>
      </c>
      <c r="K1919" s="88"/>
      <c r="L1919" s="111">
        <v>3.5299999999999998E-2</v>
      </c>
      <c r="M1919" s="111" t="s">
        <v>2111</v>
      </c>
      <c r="N1919" s="91">
        <v>400</v>
      </c>
      <c r="O1919" s="91">
        <v>51.5</v>
      </c>
      <c r="P1919" s="122"/>
      <c r="Q1919" s="122"/>
      <c r="R1919" s="122">
        <f t="shared" si="207"/>
        <v>51.5</v>
      </c>
      <c r="S1919" s="2">
        <f t="shared" si="206"/>
        <v>0.13994565217391305</v>
      </c>
    </row>
    <row r="1920" spans="1:19" x14ac:dyDescent="0.25">
      <c r="A1920" s="89">
        <f t="shared" si="208"/>
        <v>35</v>
      </c>
      <c r="B1920" s="169"/>
      <c r="C1920" s="169" t="s">
        <v>2113</v>
      </c>
      <c r="D1920" s="169" t="s">
        <v>2102</v>
      </c>
      <c r="E1920" s="169"/>
      <c r="F1920" s="169" t="s">
        <v>2114</v>
      </c>
      <c r="G1920" s="169"/>
      <c r="H1920" s="169"/>
      <c r="I1920" s="169"/>
      <c r="J1920" s="88">
        <v>0.4</v>
      </c>
      <c r="K1920" s="88"/>
      <c r="L1920" s="111">
        <v>3.49E-2</v>
      </c>
      <c r="M1920" s="111" t="s">
        <v>2115</v>
      </c>
      <c r="N1920" s="91">
        <v>400</v>
      </c>
      <c r="O1920" s="91">
        <v>24</v>
      </c>
      <c r="P1920" s="122"/>
      <c r="Q1920" s="122"/>
      <c r="R1920" s="122">
        <f t="shared" si="207"/>
        <v>24</v>
      </c>
      <c r="S1920" s="2">
        <f t="shared" si="206"/>
        <v>6.5217391304347824E-2</v>
      </c>
    </row>
    <row r="1921" spans="1:19" x14ac:dyDescent="0.25">
      <c r="A1921" s="89">
        <f t="shared" si="208"/>
        <v>36</v>
      </c>
      <c r="B1921" s="169"/>
      <c r="C1921" s="169"/>
      <c r="D1921" s="169"/>
      <c r="E1921" s="169"/>
      <c r="F1921" s="169" t="s">
        <v>2116</v>
      </c>
      <c r="G1921" s="169"/>
      <c r="H1921" s="169"/>
      <c r="I1921" s="169"/>
      <c r="J1921" s="88">
        <v>0.4</v>
      </c>
      <c r="K1921" s="88"/>
      <c r="L1921" s="111">
        <v>1.5800000000000002E-2</v>
      </c>
      <c r="M1921" s="111" t="s">
        <v>2117</v>
      </c>
      <c r="N1921" s="91">
        <v>400</v>
      </c>
      <c r="O1921" s="91">
        <v>24</v>
      </c>
      <c r="P1921" s="122"/>
      <c r="Q1921" s="122"/>
      <c r="R1921" s="122">
        <f t="shared" si="207"/>
        <v>24</v>
      </c>
      <c r="S1921" s="2">
        <f t="shared" si="206"/>
        <v>6.5217391304347824E-2</v>
      </c>
    </row>
    <row r="1922" spans="1:19" x14ac:dyDescent="0.25">
      <c r="A1922" s="89">
        <f t="shared" si="208"/>
        <v>37</v>
      </c>
      <c r="B1922" s="169"/>
      <c r="C1922" s="169"/>
      <c r="D1922" s="169"/>
      <c r="E1922" s="169"/>
      <c r="F1922" s="169" t="s">
        <v>2118</v>
      </c>
      <c r="G1922" s="169"/>
      <c r="H1922" s="169"/>
      <c r="I1922" s="169"/>
      <c r="J1922" s="88">
        <v>0.4</v>
      </c>
      <c r="K1922" s="88"/>
      <c r="L1922" s="111">
        <v>0.1012</v>
      </c>
      <c r="M1922" s="111" t="s">
        <v>2119</v>
      </c>
      <c r="N1922" s="91">
        <v>630</v>
      </c>
      <c r="O1922" s="91">
        <v>232.71959999999999</v>
      </c>
      <c r="P1922" s="122"/>
      <c r="Q1922" s="122"/>
      <c r="R1922" s="122">
        <f t="shared" si="207"/>
        <v>232.71959999999999</v>
      </c>
      <c r="S1922" s="2">
        <f t="shared" si="206"/>
        <v>0.40151759834368528</v>
      </c>
    </row>
    <row r="1923" spans="1:19" x14ac:dyDescent="0.25">
      <c r="A1923" s="89">
        <f t="shared" si="208"/>
        <v>38</v>
      </c>
      <c r="B1923" s="169"/>
      <c r="C1923" s="169"/>
      <c r="D1923" s="169"/>
      <c r="E1923" s="169"/>
      <c r="F1923" s="169" t="s">
        <v>2120</v>
      </c>
      <c r="G1923" s="169"/>
      <c r="H1923" s="169"/>
      <c r="I1923" s="169"/>
      <c r="J1923" s="88">
        <v>0.4</v>
      </c>
      <c r="K1923" s="88"/>
      <c r="L1923" s="111">
        <v>9.9599999999999994E-2</v>
      </c>
      <c r="M1923" s="111" t="s">
        <v>2121</v>
      </c>
      <c r="N1923" s="91">
        <v>630</v>
      </c>
      <c r="O1923" s="91">
        <v>173.55359999999999</v>
      </c>
      <c r="P1923" s="122"/>
      <c r="Q1923" s="122"/>
      <c r="R1923" s="122">
        <f t="shared" si="207"/>
        <v>173.55359999999999</v>
      </c>
      <c r="S1923" s="2">
        <f t="shared" si="206"/>
        <v>0.29943685300207035</v>
      </c>
    </row>
    <row r="1924" spans="1:19" x14ac:dyDescent="0.25">
      <c r="A1924" s="89">
        <f t="shared" si="208"/>
        <v>39</v>
      </c>
      <c r="B1924" s="169"/>
      <c r="C1924" s="169"/>
      <c r="D1924" s="169"/>
      <c r="E1924" s="169"/>
      <c r="F1924" s="169" t="s">
        <v>2122</v>
      </c>
      <c r="G1924" s="169"/>
      <c r="H1924" s="169"/>
      <c r="I1924" s="169"/>
      <c r="J1924" s="88">
        <v>0.4</v>
      </c>
      <c r="K1924" s="88"/>
      <c r="L1924" s="111">
        <v>1.1900000000000001E-2</v>
      </c>
      <c r="M1924" s="111" t="s">
        <v>2121</v>
      </c>
      <c r="N1924" s="91">
        <v>400</v>
      </c>
      <c r="O1924" s="91">
        <v>12</v>
      </c>
      <c r="P1924" s="122"/>
      <c r="Q1924" s="122"/>
      <c r="R1924" s="122">
        <f t="shared" si="207"/>
        <v>12</v>
      </c>
      <c r="S1924" s="2">
        <f t="shared" si="206"/>
        <v>3.2608695652173912E-2</v>
      </c>
    </row>
    <row r="1925" spans="1:19" x14ac:dyDescent="0.25">
      <c r="A1925" s="89">
        <f t="shared" si="208"/>
        <v>40</v>
      </c>
      <c r="B1925" s="169"/>
      <c r="C1925" s="169" t="s">
        <v>2123</v>
      </c>
      <c r="D1925" s="169" t="s">
        <v>2102</v>
      </c>
      <c r="E1925" s="169"/>
      <c r="F1925" s="169" t="s">
        <v>2124</v>
      </c>
      <c r="G1925" s="169"/>
      <c r="H1925" s="169"/>
      <c r="I1925" s="169"/>
      <c r="J1925" s="88">
        <v>0.4</v>
      </c>
      <c r="K1925" s="88"/>
      <c r="L1925" s="111">
        <v>2.9000000000000001E-2</v>
      </c>
      <c r="M1925" s="111" t="s">
        <v>2125</v>
      </c>
      <c r="N1925" s="91">
        <v>400</v>
      </c>
      <c r="O1925" s="91">
        <v>7.5</v>
      </c>
      <c r="P1925" s="122"/>
      <c r="Q1925" s="122"/>
      <c r="R1925" s="122">
        <f t="shared" si="207"/>
        <v>7.5</v>
      </c>
      <c r="S1925" s="2">
        <f t="shared" si="206"/>
        <v>2.0380434782608696E-2</v>
      </c>
    </row>
    <row r="1926" spans="1:19" x14ac:dyDescent="0.25">
      <c r="A1926" s="89">
        <f t="shared" si="208"/>
        <v>41</v>
      </c>
      <c r="B1926" s="169"/>
      <c r="C1926" s="169"/>
      <c r="D1926" s="169"/>
      <c r="E1926" s="169"/>
      <c r="F1926" s="169" t="s">
        <v>2126</v>
      </c>
      <c r="G1926" s="169"/>
      <c r="H1926" s="169"/>
      <c r="I1926" s="169"/>
      <c r="J1926" s="88">
        <v>0.4</v>
      </c>
      <c r="K1926" s="88"/>
      <c r="L1926" s="111">
        <v>1E-3</v>
      </c>
      <c r="M1926" s="91"/>
      <c r="N1926" s="91">
        <v>400</v>
      </c>
      <c r="O1926" s="91">
        <v>7.5</v>
      </c>
      <c r="P1926" s="122"/>
      <c r="Q1926" s="122"/>
      <c r="R1926" s="122">
        <f t="shared" si="207"/>
        <v>7.5</v>
      </c>
      <c r="S1926" s="2">
        <f t="shared" si="206"/>
        <v>2.0380434782608696E-2</v>
      </c>
    </row>
    <row r="1927" spans="1:19" x14ac:dyDescent="0.25">
      <c r="A1927" s="89">
        <f t="shared" si="208"/>
        <v>42</v>
      </c>
      <c r="B1927" s="169"/>
      <c r="C1927" s="169"/>
      <c r="D1927" s="169"/>
      <c r="E1927" s="169"/>
      <c r="F1927" s="169" t="s">
        <v>2127</v>
      </c>
      <c r="G1927" s="169"/>
      <c r="H1927" s="169"/>
      <c r="I1927" s="169"/>
      <c r="J1927" s="88">
        <v>0.63</v>
      </c>
      <c r="K1927" s="88"/>
      <c r="L1927" s="111">
        <v>0.1426</v>
      </c>
      <c r="M1927" s="91"/>
      <c r="N1927" s="91">
        <v>630</v>
      </c>
      <c r="O1927" s="91">
        <v>106</v>
      </c>
      <c r="P1927" s="122"/>
      <c r="Q1927" s="122"/>
      <c r="R1927" s="122">
        <f t="shared" si="207"/>
        <v>106</v>
      </c>
      <c r="S1927" s="2">
        <f t="shared" si="206"/>
        <v>0.18288474810213939</v>
      </c>
    </row>
  </sheetData>
  <autoFilter ref="A10:S1927">
    <filterColumn colId="5" showButton="0"/>
    <filterColumn colId="7" showButton="0"/>
    <filterColumn colId="17">
      <filters>
        <filter val="0,20"/>
        <filter val="0,24"/>
        <filter val="0,38"/>
        <filter val="0,40"/>
        <filter val="0,65"/>
        <filter val="0,66"/>
        <filter val="0,80"/>
        <filter val="1,00"/>
        <filter val="1,1"/>
        <filter val="1,18"/>
        <filter val="1,2"/>
        <filter val="1,32"/>
        <filter val="1,40"/>
        <filter val="1,52"/>
        <filter val="1,85"/>
        <filter val="1,9"/>
        <filter val="1,94"/>
        <filter val="1,97"/>
        <filter val="10,00"/>
        <filter val="10,05"/>
        <filter val="10,20"/>
        <filter val="10,53"/>
        <filter val="10,6"/>
        <filter val="100,00"/>
        <filter val="100,04"/>
        <filter val="100,40"/>
        <filter val="100,56"/>
        <filter val="100,70"/>
        <filter val="100,77"/>
        <filter val="100,8"/>
        <filter val="101,00"/>
        <filter val="101,03"/>
        <filter val="101,08"/>
        <filter val="101,20"/>
        <filter val="102,00"/>
        <filter val="102,02"/>
        <filter val="102,22"/>
        <filter val="102,49"/>
        <filter val="102,68"/>
        <filter val="102,88"/>
        <filter val="103,20"/>
        <filter val="103,33"/>
        <filter val="103,5"/>
        <filter val="103,99"/>
        <filter val="104"/>
        <filter val="104,00"/>
        <filter val="104,65"/>
        <filter val="105"/>
        <filter val="105,31"/>
        <filter val="105,35"/>
        <filter val="105,50"/>
        <filter val="105,6"/>
        <filter val="105,60"/>
        <filter val="105,65"/>
        <filter val="105,97"/>
        <filter val="106"/>
        <filter val="106,02"/>
        <filter val="106,20"/>
        <filter val="106,4"/>
        <filter val="106,63"/>
        <filter val="107,15"/>
        <filter val="107,35"/>
        <filter val="107,40"/>
        <filter val="107,60"/>
        <filter val="107,94"/>
        <filter val="1074,15"/>
        <filter val="108,00"/>
        <filter val="108,20"/>
        <filter val="108,6"/>
        <filter val="108,60"/>
        <filter val="109,00"/>
        <filter val="109,10"/>
        <filter val="109,92"/>
        <filter val="11"/>
        <filter val="11,02"/>
        <filter val="11,19"/>
        <filter val="11,21"/>
        <filter val="11,85"/>
        <filter val="110"/>
        <filter val="110,20"/>
        <filter val="110,5"/>
        <filter val="110,57"/>
        <filter val="110,7"/>
        <filter val="110,8"/>
        <filter val="110,85"/>
        <filter val="111"/>
        <filter val="111,00"/>
        <filter val="111,1"/>
        <filter val="111,10"/>
        <filter val="111,89"/>
        <filter val="112,1"/>
        <filter val="113,00"/>
        <filter val="113,21"/>
        <filter val="113,44"/>
        <filter val="113,46"/>
        <filter val="113,68"/>
        <filter val="113,70"/>
        <filter val="113,80"/>
        <filter val="113,87"/>
        <filter val="114"/>
        <filter val="114,00"/>
        <filter val="114,52"/>
        <filter val="114,8"/>
        <filter val="115,14"/>
        <filter val="115,52"/>
        <filter val="115,84"/>
        <filter val="115,96"/>
        <filter val="116"/>
        <filter val="116,20"/>
        <filter val="116,40"/>
        <filter val="116,50"/>
        <filter val="116,7"/>
        <filter val="117,16"/>
        <filter val="117,80"/>
        <filter val="118"/>
        <filter val="118,00"/>
        <filter val="118,20"/>
        <filter val="119,00"/>
        <filter val="119,12"/>
        <filter val="119,13"/>
        <filter val="119,79"/>
        <filter val="12"/>
        <filter val="12,00"/>
        <filter val="12,25"/>
        <filter val="12,40"/>
        <filter val="12,51"/>
        <filter val="12,69"/>
        <filter val="12,71"/>
        <filter val="12,86"/>
        <filter val="120,00"/>
        <filter val="120,2"/>
        <filter val="120,45"/>
        <filter val="120,8"/>
        <filter val="121,10"/>
        <filter val="121,88"/>
        <filter val="122"/>
        <filter val="122,42"/>
        <filter val="122,51"/>
        <filter val="122,80"/>
        <filter val="122,89"/>
        <filter val="123"/>
        <filter val="123,00"/>
        <filter val="123,17"/>
        <filter val="123,74"/>
        <filter val="124"/>
        <filter val="124,26"/>
        <filter val="124,3"/>
        <filter val="124,40"/>
        <filter val="124,64"/>
        <filter val="125"/>
        <filter val="125,00"/>
        <filter val="125,71"/>
        <filter val="125,78"/>
        <filter val="125,80"/>
        <filter val="125,85"/>
        <filter val="125,92"/>
        <filter val="126"/>
        <filter val="126,32"/>
        <filter val="126,37"/>
        <filter val="126,80"/>
        <filter val="127"/>
        <filter val="127,00"/>
        <filter val="127,01"/>
        <filter val="127,40"/>
        <filter val="127,60"/>
        <filter val="127,90"/>
        <filter val="128,34"/>
        <filter val="128,60"/>
        <filter val="128,70"/>
        <filter val="128,80"/>
        <filter val="129,00"/>
        <filter val="129,40"/>
        <filter val="129,66"/>
        <filter val="129,96"/>
        <filter val="13"/>
        <filter val="13,16"/>
        <filter val="13,20"/>
        <filter val="13,21"/>
        <filter val="13,3"/>
        <filter val="13,40"/>
        <filter val="13,8"/>
        <filter val="13,82"/>
        <filter val="130"/>
        <filter val="130,00"/>
        <filter val="130,10"/>
        <filter val="130,32"/>
        <filter val="130,69"/>
        <filter val="130,80"/>
        <filter val="131,00"/>
        <filter val="131,46"/>
        <filter val="132"/>
        <filter val="132,00"/>
        <filter val="132,29"/>
        <filter val="132,62"/>
        <filter val="133"/>
        <filter val="133,61"/>
        <filter val="134,00"/>
        <filter val="134,20"/>
        <filter val="134,50"/>
        <filter val="134,7"/>
        <filter val="134,93"/>
        <filter val="135,00"/>
        <filter val="135,20"/>
        <filter val="135,40"/>
        <filter val="135,58"/>
        <filter val="136,00"/>
        <filter val="136,20"/>
        <filter val="137,56"/>
        <filter val="137,60"/>
        <filter val="137,80"/>
        <filter val="138"/>
        <filter val="138,08"/>
        <filter val="138,22"/>
        <filter val="138,69"/>
        <filter val="138,80"/>
        <filter val="138,88"/>
        <filter val="139"/>
        <filter val="139,00"/>
        <filter val="139,4"/>
        <filter val="139,46"/>
        <filter val="139,84"/>
        <filter val="14"/>
        <filter val="14,44"/>
        <filter val="14,48"/>
        <filter val="14,60"/>
        <filter val="140"/>
        <filter val="140,00"/>
        <filter val="140,19"/>
        <filter val="140,50"/>
        <filter val="140,60"/>
        <filter val="140,85"/>
        <filter val="141,09"/>
        <filter val="141,51"/>
        <filter val="142,00"/>
        <filter val="142,1"/>
        <filter val="142,17"/>
        <filter val="142,55"/>
        <filter val="142,8"/>
        <filter val="142,80"/>
        <filter val="142,82"/>
        <filter val="143"/>
        <filter val="143,1"/>
        <filter val="143,20"/>
        <filter val="143,48"/>
        <filter val="143,58"/>
        <filter val="143,80"/>
        <filter val="144,00"/>
        <filter val="144,03"/>
        <filter val="144,14"/>
        <filter val="145,06"/>
        <filter val="145,16"/>
        <filter val="145,8"/>
        <filter val="146"/>
        <filter val="146,40"/>
        <filter val="146,80"/>
        <filter val="147,43"/>
        <filter val="147,44"/>
        <filter val="147,6"/>
        <filter val="147,8"/>
        <filter val="148"/>
        <filter val="148,09"/>
        <filter val="148,58"/>
        <filter val="148,75"/>
        <filter val="149"/>
        <filter val="149,20"/>
        <filter val="149,41"/>
        <filter val="149,80"/>
        <filter val="15,00"/>
        <filter val="15,14"/>
        <filter val="15,20"/>
        <filter val="15,22"/>
        <filter val="15,40"/>
        <filter val="15,80"/>
        <filter val="15,92"/>
        <filter val="15,96"/>
        <filter val="150,60"/>
        <filter val="150,72"/>
        <filter val="151"/>
        <filter val="151,00"/>
        <filter val="151,38"/>
        <filter val="151,55"/>
        <filter val="151,86"/>
        <filter val="152"/>
        <filter val="152,04"/>
        <filter val="153,1"/>
        <filter val="153,40"/>
        <filter val="155,2"/>
        <filter val="155,40"/>
        <filter val="155,63"/>
        <filter val="155,66"/>
        <filter val="156"/>
        <filter val="156,00"/>
        <filter val="156,50"/>
        <filter val="156,60"/>
        <filter val="156,65"/>
        <filter val="157,00"/>
        <filter val="157,26"/>
        <filter val="157,30"/>
        <filter val="157,32"/>
        <filter val="157,5"/>
        <filter val="157,60"/>
        <filter val="157,91"/>
        <filter val="157,96"/>
        <filter val="158"/>
        <filter val="158,00"/>
        <filter val="158,20"/>
        <filter val="158,72"/>
        <filter val="159,28"/>
        <filter val="159,40"/>
        <filter val="159,80"/>
        <filter val="159,94"/>
        <filter val="16,00"/>
        <filter val="16,3"/>
        <filter val="16,45"/>
        <filter val="16,7"/>
        <filter val="16,72"/>
        <filter val="16,8"/>
        <filter val="160"/>
        <filter val="160,20"/>
        <filter val="160,36"/>
        <filter val="161"/>
        <filter val="161,08"/>
        <filter val="161,40"/>
        <filter val="162"/>
        <filter val="162,40"/>
        <filter val="163,16"/>
        <filter val="163,23"/>
        <filter val="163,89"/>
        <filter val="164,4"/>
        <filter val="165,00"/>
        <filter val="165,79"/>
        <filter val="165,86"/>
        <filter val="166,00"/>
        <filter val="166,60"/>
        <filter val="166,82"/>
        <filter val="167"/>
        <filter val="167,00"/>
        <filter val="167,40"/>
        <filter val="167,84"/>
        <filter val="168"/>
        <filter val="168,00"/>
        <filter val="168,12"/>
        <filter val="168,49"/>
        <filter val="168,80"/>
        <filter val="169,00"/>
        <filter val="169,40"/>
        <filter val="17,00"/>
        <filter val="17,11"/>
        <filter val="17,60"/>
        <filter val="17,77"/>
        <filter val="170"/>
        <filter val="170,00"/>
        <filter val="170,7"/>
        <filter val="172,54"/>
        <filter val="173,5536"/>
        <filter val="173,9"/>
        <filter val="174"/>
        <filter val="174,40"/>
        <filter val="175,18"/>
        <filter val="175,94"/>
        <filter val="176"/>
        <filter val="176,00"/>
        <filter val="177"/>
        <filter val="177,05"/>
        <filter val="177,20"/>
        <filter val="177,40"/>
        <filter val="177,60"/>
        <filter val="177,71"/>
        <filter val="178,80"/>
        <filter val="179,02"/>
        <filter val="179,40"/>
        <filter val="179,43"/>
        <filter val="18,00"/>
        <filter val="18,02"/>
        <filter val="18,42"/>
        <filter val="18,5"/>
        <filter val="18,68"/>
        <filter val="18,7"/>
        <filter val="180"/>
        <filter val="180,34"/>
        <filter val="180,88"/>
        <filter val="181,00"/>
        <filter val="181,2"/>
        <filter val="181,20"/>
        <filter val="181,26"/>
        <filter val="181,40"/>
        <filter val="181,62"/>
        <filter val="181,66"/>
        <filter val="181,80"/>
        <filter val="182,02"/>
        <filter val="182,18"/>
        <filter val="182,97"/>
        <filter val="183,20"/>
        <filter val="183,59"/>
        <filter val="184,00"/>
        <filter val="184,07"/>
        <filter val="184,60"/>
        <filter val="185,00"/>
        <filter val="185,24"/>
        <filter val="186,58"/>
        <filter val="186,60"/>
        <filter val="186,81"/>
        <filter val="186,92"/>
        <filter val="187"/>
        <filter val="187,08"/>
        <filter val="187,20"/>
        <filter val="188"/>
        <filter val="188,24"/>
        <filter val="188,40"/>
        <filter val="188,90"/>
        <filter val="189,80"/>
        <filter val="19,00"/>
        <filter val="19,09"/>
        <filter val="19,2"/>
        <filter val="19,40"/>
        <filter val="19,75"/>
        <filter val="19,80"/>
        <filter val="190,5"/>
        <filter val="190,87"/>
        <filter val="190,99"/>
        <filter val="191"/>
        <filter val="192,24"/>
        <filter val="192,97"/>
        <filter val="193"/>
        <filter val="194,64"/>
        <filter val="194,82"/>
        <filter val="195,00"/>
        <filter val="195,20"/>
        <filter val="196,00"/>
        <filter val="196,08"/>
        <filter val="196,20"/>
        <filter val="196,66"/>
        <filter val="196,80"/>
        <filter val="197"/>
        <filter val="198,11"/>
        <filter val="198,40"/>
        <filter val="198,73"/>
        <filter val="198,8"/>
        <filter val="198,80"/>
        <filter val="199"/>
        <filter val="199,43"/>
        <filter val="2,00"/>
        <filter val="2,08"/>
        <filter val="2,18"/>
        <filter val="2,20"/>
        <filter val="2,26"/>
        <filter val="2,28"/>
        <filter val="2,31"/>
        <filter val="2,40"/>
        <filter val="2,85"/>
        <filter val="2,95"/>
        <filter val="20"/>
        <filter val="20,00"/>
        <filter val="20,30"/>
        <filter val="20,4"/>
        <filter val="20,40"/>
        <filter val="20,76"/>
        <filter val="20,94"/>
        <filter val="200,74"/>
        <filter val="201,20"/>
        <filter val="201,4"/>
        <filter val="201,60"/>
        <filter val="202"/>
        <filter val="202,06"/>
        <filter val="202,20"/>
        <filter val="202,80"/>
        <filter val="2027"/>
        <filter val="203"/>
        <filter val="203,20"/>
        <filter val="203,40"/>
        <filter val="204"/>
        <filter val="204,04"/>
        <filter val="204,10"/>
        <filter val="204,24"/>
        <filter val="204,52"/>
        <filter val="204,69"/>
        <filter val="205,35"/>
        <filter val="206"/>
        <filter val="207,86"/>
        <filter val="208,00"/>
        <filter val="208,50"/>
        <filter val="208,61"/>
        <filter val="21,06"/>
        <filter val="21,60"/>
        <filter val="21,98"/>
        <filter val="210"/>
        <filter val="211,14"/>
        <filter val="211,28"/>
        <filter val="211,80"/>
        <filter val="212"/>
        <filter val="212,74"/>
        <filter val="213,56"/>
        <filter val="213,91"/>
        <filter val="2134"/>
        <filter val="214"/>
        <filter val="214,80"/>
        <filter val="215,62"/>
        <filter val="215,80"/>
        <filter val="216,00"/>
        <filter val="217,36"/>
        <filter val="217,86"/>
        <filter val="218,84"/>
        <filter val="219,00"/>
        <filter val="219,60"/>
        <filter val="22"/>
        <filter val="22,00"/>
        <filter val="22,38"/>
        <filter val="220,40"/>
        <filter val="224"/>
        <filter val="225"/>
        <filter val="225,10"/>
        <filter val="225,78"/>
        <filter val="225,82"/>
        <filter val="225,9"/>
        <filter val="226,00"/>
        <filter val="227,60"/>
        <filter val="227,73"/>
        <filter val="229"/>
        <filter val="229,05"/>
        <filter val="23"/>
        <filter val="23,0"/>
        <filter val="23,00"/>
        <filter val="23,04"/>
        <filter val="23,60"/>
        <filter val="23,69"/>
        <filter val="23,7"/>
        <filter val="23,82"/>
        <filter val="23,85"/>
        <filter val="231,00"/>
        <filter val="231,54"/>
        <filter val="231,68"/>
        <filter val="231,82"/>
        <filter val="232,7196"/>
        <filter val="233"/>
        <filter val="233,60"/>
        <filter val="234,00"/>
        <filter val="234,38"/>
        <filter val="235,20"/>
        <filter val="235,40"/>
        <filter val="238,26"/>
        <filter val="238,92"/>
        <filter val="239,40"/>
        <filter val="24"/>
        <filter val="24,00"/>
        <filter val="24,11"/>
        <filter val="24,35"/>
        <filter val="24,60"/>
        <filter val="241"/>
        <filter val="242,21"/>
        <filter val="243,00"/>
        <filter val="243,74"/>
        <filter val="244"/>
        <filter val="244,84"/>
        <filter val="246"/>
        <filter val="247,48"/>
        <filter val="25"/>
        <filter val="25,01"/>
        <filter val="25,08"/>
        <filter val="25,1"/>
        <filter val="25,2"/>
        <filter val="25,46"/>
        <filter val="25,67"/>
        <filter val="25,84"/>
        <filter val="250"/>
        <filter val="250,57"/>
        <filter val="251,60"/>
        <filter val="252"/>
        <filter val="252,60"/>
        <filter val="252,74"/>
        <filter val="253,40"/>
        <filter val="254,06"/>
        <filter val="254,6"/>
        <filter val="254,60"/>
        <filter val="254,72"/>
        <filter val="257,20"/>
        <filter val="257,9"/>
        <filter val="258,01"/>
        <filter val="258,66"/>
        <filter val="259,40"/>
        <filter val="259,98"/>
        <filter val="26,04"/>
        <filter val="26,30"/>
        <filter val="26,33"/>
        <filter val="26,4"/>
        <filter val="26,60"/>
        <filter val="26,99"/>
        <filter val="260"/>
        <filter val="261"/>
        <filter val="261,00"/>
        <filter val="261,20"/>
        <filter val="261,40"/>
        <filter val="262,60"/>
        <filter val="262,96"/>
        <filter val="266,00"/>
        <filter val="266,38"/>
        <filter val="266,56"/>
        <filter val="267,14"/>
        <filter val="267,20"/>
        <filter val="268,54"/>
        <filter val="268,66"/>
        <filter val="268,8"/>
        <filter val="269,19"/>
        <filter val="27"/>
        <filter val="27,00"/>
        <filter val="27,2"/>
        <filter val="27,33"/>
        <filter val="27,64"/>
        <filter val="27,74"/>
        <filter val="27,80"/>
        <filter val="270,18"/>
        <filter val="270,66"/>
        <filter val="271,61"/>
        <filter val="271,66"/>
        <filter val="272,00"/>
        <filter val="273"/>
        <filter val="273,20"/>
        <filter val="273,80"/>
        <filter val="273,90"/>
        <filter val="274,00"/>
        <filter val="275"/>
        <filter val="275,78"/>
        <filter val="277"/>
        <filter val="277,39"/>
        <filter val="278,41"/>
        <filter val="278,92"/>
        <filter val="279,80"/>
        <filter val="28,14"/>
        <filter val="28,60"/>
        <filter val="28,72"/>
        <filter val="280,20"/>
        <filter val="280,53"/>
        <filter val="284"/>
        <filter val="285,65"/>
        <filter val="287"/>
        <filter val="287,78"/>
        <filter val="29"/>
        <filter val="29,00"/>
        <filter val="29,06"/>
        <filter val="29,26"/>
        <filter val="29,40"/>
        <filter val="29,62"/>
        <filter val="290,00"/>
        <filter val="291"/>
        <filter val="291,3"/>
        <filter val="292"/>
        <filter val="292,19"/>
        <filter val="293,26"/>
        <filter val="293,92"/>
        <filter val="294,96"/>
        <filter val="295"/>
        <filter val="296,00"/>
        <filter val="296,02"/>
        <filter val="297"/>
        <filter val="298"/>
        <filter val="298,81"/>
        <filter val="3"/>
        <filter val="3,00"/>
        <filter val="3,04"/>
        <filter val="3,2"/>
        <filter val="3,29"/>
        <filter val="3,30"/>
        <filter val="3,9"/>
        <filter val="3,94"/>
        <filter val="3,95"/>
        <filter val="30"/>
        <filter val="30,00"/>
        <filter val="30,28"/>
        <filter val="30,60"/>
        <filter val="30,74"/>
        <filter val="30,80"/>
        <filter val="30,93"/>
        <filter val="300,00"/>
        <filter val="301,00"/>
        <filter val="301,74"/>
        <filter val="303"/>
        <filter val="306"/>
        <filter val="306,80"/>
        <filter val="309"/>
        <filter val="309,40"/>
        <filter val="31"/>
        <filter val="31,00"/>
        <filter val="31,10"/>
        <filter val="31,59"/>
        <filter val="311,3"/>
        <filter val="312"/>
        <filter val="3128"/>
        <filter val="315,27"/>
        <filter val="315,44"/>
        <filter val="316"/>
        <filter val="317,90"/>
        <filter val="318,40"/>
        <filter val="319,00"/>
        <filter val="32,00"/>
        <filter val="32,06"/>
        <filter val="32,10"/>
        <filter val="32,3"/>
        <filter val="32,52"/>
        <filter val="32,62"/>
        <filter val="32,69"/>
        <filter val="322,40"/>
        <filter val="322,59"/>
        <filter val="323"/>
        <filter val="323,82"/>
        <filter val="327,56"/>
        <filter val="328"/>
        <filter val="328,00"/>
        <filter val="329"/>
        <filter val="33"/>
        <filter val="33,00"/>
        <filter val="33,06"/>
        <filter val="33,26"/>
        <filter val="33,68"/>
        <filter val="33,80"/>
        <filter val="330"/>
        <filter val="332"/>
        <filter val="333,62"/>
        <filter val="333,80"/>
        <filter val="336,2"/>
        <filter val="339,40"/>
        <filter val="34"/>
        <filter val="34,00"/>
        <filter val="34,20"/>
        <filter val="34,23"/>
        <filter val="34,3"/>
        <filter val="34,40"/>
        <filter val="34,44"/>
        <filter val="34,58"/>
        <filter val="34,60"/>
        <filter val="34,8"/>
        <filter val="34,80"/>
        <filter val="34,88"/>
        <filter val="341,40"/>
        <filter val="342"/>
        <filter val="342,00"/>
        <filter val="343,60"/>
        <filter val="347,60"/>
        <filter val="349,02"/>
        <filter val="35,60"/>
        <filter val="354"/>
        <filter val="354,00"/>
        <filter val="354,76"/>
        <filter val="355,3"/>
        <filter val="357"/>
        <filter val="357,00"/>
        <filter val="357,70"/>
        <filter val="36"/>
        <filter val="36,07"/>
        <filter val="36,21"/>
        <filter val="36,4"/>
        <filter val="36,50"/>
        <filter val="36,86"/>
        <filter val="360,00"/>
        <filter val="362,80"/>
        <filter val="367"/>
        <filter val="368,00"/>
        <filter val="37"/>
        <filter val="37,00"/>
        <filter val="37,24"/>
        <filter val="37,30"/>
        <filter val="37,50"/>
        <filter val="37,52"/>
        <filter val="37,6"/>
        <filter val="37,80"/>
        <filter val="370"/>
        <filter val="372,12"/>
        <filter val="373,40"/>
        <filter val="376,40"/>
        <filter val="376,6"/>
        <filter val="377,5"/>
        <filter val="378"/>
        <filter val="38"/>
        <filter val="38,00"/>
        <filter val="38,17"/>
        <filter val="38,20"/>
        <filter val="38,4"/>
        <filter val="38,83"/>
        <filter val="380,43"/>
        <filter val="383,00"/>
        <filter val="386,35"/>
        <filter val="386,46"/>
        <filter val="39,00"/>
        <filter val="39,14"/>
        <filter val="39,49"/>
        <filter val="39,60"/>
        <filter val="391"/>
        <filter val="392,00"/>
        <filter val="393,68"/>
        <filter val="394,00"/>
        <filter val="395,00"/>
        <filter val="395,57"/>
        <filter val="4"/>
        <filter val="4,2"/>
        <filter val="4,20"/>
        <filter val="4,56"/>
        <filter val="4,61"/>
        <filter val="4,9"/>
        <filter val="40,00"/>
        <filter val="40,15"/>
        <filter val="40,17"/>
        <filter val="40,81"/>
        <filter val="404"/>
        <filter val="41,40"/>
        <filter val="41,42"/>
        <filter val="41,52"/>
        <filter val="41,8"/>
        <filter val="41,90"/>
        <filter val="415"/>
        <filter val="417,24"/>
        <filter val="42"/>
        <filter val="42,00"/>
        <filter val="42,30"/>
        <filter val="42,40"/>
        <filter val="42,60"/>
        <filter val="42,78"/>
        <filter val="42,86"/>
        <filter val="42,91"/>
        <filter val="423,40"/>
        <filter val="425"/>
        <filter val="43,00"/>
        <filter val="43,44"/>
        <filter val="43,7"/>
        <filter val="43,80"/>
        <filter val="43,83"/>
        <filter val="44"/>
        <filter val="44,10"/>
        <filter val="44,20"/>
        <filter val="44,60"/>
        <filter val="44,62"/>
        <filter val="44,76"/>
        <filter val="45"/>
        <filter val="45,20"/>
        <filter val="45,80"/>
        <filter val="453,80"/>
        <filter val="46"/>
        <filter val="46,00"/>
        <filter val="46,07"/>
        <filter val="46,30"/>
        <filter val="46,40"/>
        <filter val="46,73"/>
        <filter val="47"/>
        <filter val="47,3"/>
        <filter val="47,39"/>
        <filter val="47,75"/>
        <filter val="47,86"/>
        <filter val="470,20"/>
        <filter val="474,55"/>
        <filter val="48"/>
        <filter val="48,00"/>
        <filter val="48,05"/>
        <filter val="48,26"/>
        <filter val="48,52"/>
        <filter val="48,71"/>
        <filter val="48,90"/>
        <filter val="48,97"/>
        <filter val="480"/>
        <filter val="485,74"/>
        <filter val="49"/>
        <filter val="49,00"/>
        <filter val="49,1"/>
        <filter val="49,10"/>
        <filter val="49,36"/>
        <filter val="49,40"/>
        <filter val="49,49"/>
        <filter val="490,00"/>
        <filter val="5"/>
        <filter val="5,00"/>
        <filter val="5,27"/>
        <filter val="5,40"/>
        <filter val="50"/>
        <filter val="50,02"/>
        <filter val="50,50"/>
        <filter val="50,54"/>
        <filter val="50,60"/>
        <filter val="50,68"/>
        <filter val="50,80"/>
        <filter val="51,00"/>
        <filter val="51,34"/>
        <filter val="51,46"/>
        <filter val="51,5"/>
        <filter val="51,67"/>
        <filter val="52"/>
        <filter val="52,00"/>
        <filter val="52,06"/>
        <filter val="52,36"/>
        <filter val="52,40"/>
        <filter val="52,44"/>
        <filter val="52,60"/>
        <filter val="52,65"/>
        <filter val="53,00"/>
        <filter val="53,2"/>
        <filter val="53,31"/>
        <filter val="53,58"/>
        <filter val="53,59"/>
        <filter val="53,76"/>
        <filter val="53,96"/>
        <filter val="53,98"/>
        <filter val="531"/>
        <filter val="54"/>
        <filter val="54,00"/>
        <filter val="54,63"/>
        <filter val="54,72"/>
        <filter val="54,76"/>
        <filter val="546,95"/>
        <filter val="55,01"/>
        <filter val="55,10"/>
        <filter val="55,13"/>
        <filter val="55,29"/>
        <filter val="55,40"/>
        <filter val="55,60"/>
        <filter val="55,80"/>
        <filter val="55,95"/>
        <filter val="56"/>
        <filter val="56,20"/>
        <filter val="56,26"/>
        <filter val="56,60"/>
        <filter val="56,65"/>
        <filter val="56,8"/>
        <filter val="57"/>
        <filter val="57,00"/>
        <filter val="57,26"/>
        <filter val="57,65"/>
        <filter val="57,80"/>
        <filter val="57,92"/>
        <filter val="58,05"/>
        <filter val="58,1"/>
        <filter val="58,14"/>
        <filter val="59"/>
        <filter val="59,00"/>
        <filter val="59,24"/>
        <filter val="59,40"/>
        <filter val="59,66"/>
        <filter val="59,89"/>
        <filter val="59,90"/>
        <filter val="6,12"/>
        <filter val="6,17"/>
        <filter val="6,2"/>
        <filter val="6,41"/>
        <filter val="6,58"/>
        <filter val="6,6"/>
        <filter val="6,92"/>
        <filter val="60"/>
        <filter val="60,00"/>
        <filter val="60,2"/>
        <filter val="60,45"/>
        <filter val="60,55"/>
        <filter val="61,00"/>
        <filter val="61,2"/>
        <filter val="61,20"/>
        <filter val="61,21"/>
        <filter val="61,3"/>
        <filter val="61,40"/>
        <filter val="61,7"/>
        <filter val="61,87"/>
        <filter val="62,00"/>
        <filter val="62,53"/>
        <filter val="62,68"/>
        <filter val="63"/>
        <filter val="63,00"/>
        <filter val="63,19"/>
        <filter val="63,22"/>
        <filter val="63,23"/>
        <filter val="63,8"/>
        <filter val="63,84"/>
        <filter val="64,00"/>
        <filter val="64,24"/>
        <filter val="64,50"/>
        <filter val="64,59"/>
        <filter val="64,60"/>
        <filter val="646,7"/>
        <filter val="65,00"/>
        <filter val="65,15"/>
        <filter val="65,28"/>
        <filter val="65,70"/>
        <filter val="65,74"/>
        <filter val="65,78"/>
        <filter val="65,80"/>
        <filter val="65,82"/>
        <filter val="650"/>
        <filter val="66,00"/>
        <filter val="66,3"/>
        <filter val="66,48"/>
        <filter val="66,50"/>
        <filter val="66,66"/>
        <filter val="67,00"/>
        <filter val="67,13"/>
        <filter val="67,79"/>
        <filter val="67,8"/>
        <filter val="673,32"/>
        <filter val="68"/>
        <filter val="68,00"/>
        <filter val="68,12"/>
        <filter val="68,45"/>
        <filter val="68,51"/>
        <filter val="68,60"/>
        <filter val="68,9"/>
        <filter val="68,98"/>
        <filter val="69,11"/>
        <filter val="69,19"/>
        <filter val="69,40"/>
        <filter val="69,44"/>
        <filter val="69,60"/>
        <filter val="69,77"/>
        <filter val="69,92"/>
        <filter val="7"/>
        <filter val="7,20"/>
        <filter val="7,24"/>
        <filter val="7,30"/>
        <filter val="7,46"/>
        <filter val="7,5"/>
        <filter val="7,60"/>
        <filter val="7,90"/>
        <filter val="70,00"/>
        <filter val="70,30"/>
        <filter val="70,43"/>
        <filter val="70,55"/>
        <filter val="70,95"/>
        <filter val="71,00"/>
        <filter val="71,08"/>
        <filter val="71,60"/>
        <filter val="71,74"/>
        <filter val="71,83"/>
        <filter val="72,00"/>
        <filter val="72,2"/>
        <filter val="72,40"/>
        <filter val="73,06"/>
        <filter val="73,2"/>
        <filter val="73,20"/>
        <filter val="73,60"/>
        <filter val="73,72"/>
        <filter val="74,00"/>
        <filter val="74,24"/>
        <filter val="74,37"/>
        <filter val="74,4"/>
        <filter val="74,40"/>
        <filter val="74,63"/>
        <filter val="74,80"/>
        <filter val="75,00"/>
        <filter val="75,27"/>
        <filter val="75,69"/>
        <filter val="76"/>
        <filter val="76,12"/>
        <filter val="76,20"/>
        <filter val="76,38"/>
        <filter val="76,4"/>
        <filter val="76,5"/>
        <filter val="76,60"/>
        <filter val="76,80"/>
        <filter val="77,00"/>
        <filter val="77,30"/>
        <filter val="77,60"/>
        <filter val="77,67"/>
        <filter val="78,00"/>
        <filter val="78,32"/>
        <filter val="78,40"/>
        <filter val="78,60"/>
        <filter val="78,77"/>
        <filter val="79,40"/>
        <filter val="79,60"/>
        <filter val="79,64"/>
        <filter val="795"/>
        <filter val="8"/>
        <filter val="8,00"/>
        <filter val="8,40"/>
        <filter val="8,42"/>
        <filter val="8,56"/>
        <filter val="8,80"/>
        <filter val="80"/>
        <filter val="80,00"/>
        <filter val="80,18"/>
        <filter val="80,20"/>
        <filter val="80,34"/>
        <filter val="80,60"/>
        <filter val="80,96"/>
        <filter val="800"/>
        <filter val="81,00"/>
        <filter val="81,6"/>
        <filter val="81,61"/>
        <filter val="82"/>
        <filter val="82,00"/>
        <filter val="82,08"/>
        <filter val="82,20"/>
        <filter val="82,92"/>
        <filter val="82,93"/>
        <filter val="83"/>
        <filter val="83,00"/>
        <filter val="83,59"/>
        <filter val="83,70"/>
        <filter val="83,9"/>
        <filter val="831"/>
        <filter val="84"/>
        <filter val="84,00"/>
        <filter val="84,25"/>
        <filter val="84,30"/>
        <filter val="84,36"/>
        <filter val="85"/>
        <filter val="85,00"/>
        <filter val="85,20"/>
        <filter val="85,43"/>
        <filter val="85,56"/>
        <filter val="86,00"/>
        <filter val="86,06"/>
        <filter val="86,22"/>
        <filter val="86,88"/>
        <filter val="87,54"/>
        <filter val="87,6"/>
        <filter val="88"/>
        <filter val="88,00"/>
        <filter val="88,20"/>
        <filter val="88,85"/>
        <filter val="89,01"/>
        <filter val="89,37"/>
        <filter val="89,51"/>
        <filter val="89,60"/>
        <filter val="89,68"/>
        <filter val="89,80"/>
        <filter val="89,96"/>
        <filter val="9"/>
        <filter val="9,00"/>
        <filter val="9,12"/>
        <filter val="9,21"/>
        <filter val="9,33"/>
        <filter val="9,34"/>
        <filter val="9,87"/>
        <filter val="90,06"/>
        <filter val="90,17"/>
        <filter val="90,82"/>
        <filter val="90,83"/>
        <filter val="91,40"/>
        <filter val="91,49"/>
        <filter val="91,52"/>
        <filter val="91,58"/>
        <filter val="91,96"/>
        <filter val="92,00"/>
        <filter val="92,1"/>
        <filter val="92,13"/>
        <filter val="92,60"/>
        <filter val="92,80"/>
        <filter val="93,00"/>
        <filter val="93,19"/>
        <filter val="93,46"/>
        <filter val="93,80"/>
        <filter val="93,86"/>
        <filter val="94"/>
        <filter val="94,00"/>
        <filter val="94,06"/>
        <filter val="94,12"/>
        <filter val="94,5"/>
        <filter val="94,57"/>
        <filter val="94,60"/>
        <filter val="94,78"/>
        <filter val="95,00"/>
        <filter val="95,44"/>
        <filter val="95,76"/>
        <filter val="95,80"/>
        <filter val="95,96"/>
        <filter val="96,09"/>
        <filter val="96,60"/>
        <filter val="96,75"/>
        <filter val="96,80"/>
        <filter val="97,00"/>
        <filter val="97,41"/>
        <filter val="98,03"/>
        <filter val="98,07"/>
        <filter val="98,38"/>
        <filter val="98,73"/>
        <filter val="98,8"/>
        <filter val="99,00"/>
        <filter val="99,39"/>
        <filter val="99,56"/>
      </filters>
    </filterColumn>
  </autoFilter>
  <mergeCells count="1026">
    <mergeCell ref="F1922:G1922"/>
    <mergeCell ref="F1923:G1923"/>
    <mergeCell ref="F1924:G1924"/>
    <mergeCell ref="C1925:C1927"/>
    <mergeCell ref="D1925:D1927"/>
    <mergeCell ref="E1925:E1927"/>
    <mergeCell ref="F1925:G1925"/>
    <mergeCell ref="F1926:G1926"/>
    <mergeCell ref="F1927:G1927"/>
    <mergeCell ref="A1903:A1908"/>
    <mergeCell ref="F1903:G1908"/>
    <mergeCell ref="A1909:A1912"/>
    <mergeCell ref="F1909:G1912"/>
    <mergeCell ref="B1913:I1913"/>
    <mergeCell ref="B1914:B1927"/>
    <mergeCell ref="C1914:C1915"/>
    <mergeCell ref="D1914:D1915"/>
    <mergeCell ref="E1914:E1915"/>
    <mergeCell ref="F1914:G1914"/>
    <mergeCell ref="H1914:I1927"/>
    <mergeCell ref="F1915:G1915"/>
    <mergeCell ref="C1916:C1919"/>
    <mergeCell ref="D1916:D1919"/>
    <mergeCell ref="E1916:E1919"/>
    <mergeCell ref="F1916:G1916"/>
    <mergeCell ref="F1917:G1917"/>
    <mergeCell ref="F1918:G1918"/>
    <mergeCell ref="F1919:G1919"/>
    <mergeCell ref="C1920:C1924"/>
    <mergeCell ref="D1920:D1924"/>
    <mergeCell ref="E1920:E1924"/>
    <mergeCell ref="F1920:G1920"/>
    <mergeCell ref="F1921:G1921"/>
    <mergeCell ref="A1878:A1890"/>
    <mergeCell ref="F1878:G1890"/>
    <mergeCell ref="A1891:A1894"/>
    <mergeCell ref="F1891:G1894"/>
    <mergeCell ref="A1895:A1898"/>
    <mergeCell ref="F1895:G1898"/>
    <mergeCell ref="A1899:A1900"/>
    <mergeCell ref="F1899:G1900"/>
    <mergeCell ref="A1901:A1902"/>
    <mergeCell ref="F1901:G1902"/>
    <mergeCell ref="F1822:G1824"/>
    <mergeCell ref="A1825:A1842"/>
    <mergeCell ref="F1825:G1842"/>
    <mergeCell ref="A1843:A1854"/>
    <mergeCell ref="F1843:G1854"/>
    <mergeCell ref="A1855:A1864"/>
    <mergeCell ref="F1855:G1864"/>
    <mergeCell ref="A1865:A1877"/>
    <mergeCell ref="F1865:G1877"/>
    <mergeCell ref="F1711:G1713"/>
    <mergeCell ref="B1714:I1714"/>
    <mergeCell ref="A1715:A1716"/>
    <mergeCell ref="B1715:B1912"/>
    <mergeCell ref="C1715:C1912"/>
    <mergeCell ref="D1715:D1912"/>
    <mergeCell ref="E1715:E1912"/>
    <mergeCell ref="F1715:G1716"/>
    <mergeCell ref="H1715:I1912"/>
    <mergeCell ref="A1717:A1752"/>
    <mergeCell ref="F1717:G1752"/>
    <mergeCell ref="A1753:A1763"/>
    <mergeCell ref="F1753:G1763"/>
    <mergeCell ref="A1764:A1765"/>
    <mergeCell ref="F1764:G1765"/>
    <mergeCell ref="A1766:A1800"/>
    <mergeCell ref="F1766:G1800"/>
    <mergeCell ref="A1801:A1809"/>
    <mergeCell ref="F1801:G1809"/>
    <mergeCell ref="A1810:A1819"/>
    <mergeCell ref="F1810:G1819"/>
    <mergeCell ref="A1820:A1821"/>
    <mergeCell ref="F1820:G1821"/>
    <mergeCell ref="A1822:A1824"/>
    <mergeCell ref="A1655:S1655"/>
    <mergeCell ref="F1656:G1656"/>
    <mergeCell ref="H1656:I1656"/>
    <mergeCell ref="A1657:S1657"/>
    <mergeCell ref="A1591:A1597"/>
    <mergeCell ref="A1658:S1658"/>
    <mergeCell ref="B1659:B1713"/>
    <mergeCell ref="C1659:C1713"/>
    <mergeCell ref="D1659:D1713"/>
    <mergeCell ref="E1659:E1713"/>
    <mergeCell ref="F1659:G1659"/>
    <mergeCell ref="H1659:I1713"/>
    <mergeCell ref="F1660:G1660"/>
    <mergeCell ref="A1661:A1663"/>
    <mergeCell ref="F1661:G1663"/>
    <mergeCell ref="A1664:A1674"/>
    <mergeCell ref="F1664:G1674"/>
    <mergeCell ref="A1675:A1683"/>
    <mergeCell ref="F1675:G1683"/>
    <mergeCell ref="A1684:A1701"/>
    <mergeCell ref="F1684:G1701"/>
    <mergeCell ref="A1702:A1710"/>
    <mergeCell ref="F1702:G1710"/>
    <mergeCell ref="A1711:A1713"/>
    <mergeCell ref="F1638:G1638"/>
    <mergeCell ref="F1639:G1639"/>
    <mergeCell ref="F1640:G1640"/>
    <mergeCell ref="F1641:G1641"/>
    <mergeCell ref="A1642:S1642"/>
    <mergeCell ref="A1643:A1654"/>
    <mergeCell ref="B1643:B1654"/>
    <mergeCell ref="C1643:C1649"/>
    <mergeCell ref="D1643:D1654"/>
    <mergeCell ref="E1643:E1654"/>
    <mergeCell ref="F1643:G1643"/>
    <mergeCell ref="H1643:I1654"/>
    <mergeCell ref="F1644:G1644"/>
    <mergeCell ref="F1645:G1645"/>
    <mergeCell ref="F1646:G1646"/>
    <mergeCell ref="F1647:G1647"/>
    <mergeCell ref="F1648:G1648"/>
    <mergeCell ref="F1649:G1649"/>
    <mergeCell ref="C1650:C1652"/>
    <mergeCell ref="F1650:G1650"/>
    <mergeCell ref="F1651:G1651"/>
    <mergeCell ref="F1652:G1652"/>
    <mergeCell ref="F1653:G1653"/>
    <mergeCell ref="F1654:G1654"/>
    <mergeCell ref="A1620:S1620"/>
    <mergeCell ref="A1621:A1641"/>
    <mergeCell ref="B1621:B1641"/>
    <mergeCell ref="C1621:C1641"/>
    <mergeCell ref="D1621:D1641"/>
    <mergeCell ref="E1621:E1641"/>
    <mergeCell ref="F1621:G1621"/>
    <mergeCell ref="H1621:I1641"/>
    <mergeCell ref="F1622:G1622"/>
    <mergeCell ref="F1623:G1623"/>
    <mergeCell ref="F1624:G1624"/>
    <mergeCell ref="F1625:G1625"/>
    <mergeCell ref="F1626:G1626"/>
    <mergeCell ref="F1627:G1627"/>
    <mergeCell ref="F1628:G1628"/>
    <mergeCell ref="F1629:G1629"/>
    <mergeCell ref="F1630:G1630"/>
    <mergeCell ref="F1631:G1631"/>
    <mergeCell ref="F1632:G1632"/>
    <mergeCell ref="F1633:G1633"/>
    <mergeCell ref="F1634:G1634"/>
    <mergeCell ref="F1635:G1635"/>
    <mergeCell ref="F1636:G1636"/>
    <mergeCell ref="F1637:G1637"/>
    <mergeCell ref="A1617:S1617"/>
    <mergeCell ref="A1618:A1619"/>
    <mergeCell ref="B1618:B1619"/>
    <mergeCell ref="C1618:C1619"/>
    <mergeCell ref="D1618:D1619"/>
    <mergeCell ref="E1618:E1619"/>
    <mergeCell ref="F1618:G1619"/>
    <mergeCell ref="H1618:I1619"/>
    <mergeCell ref="J1618:J1619"/>
    <mergeCell ref="K1618:K1619"/>
    <mergeCell ref="L1618:L1619"/>
    <mergeCell ref="A1609:S1609"/>
    <mergeCell ref="A1610:A1616"/>
    <mergeCell ref="B1610:B1616"/>
    <mergeCell ref="C1610:C1616"/>
    <mergeCell ref="D1610:D1616"/>
    <mergeCell ref="E1610:E1616"/>
    <mergeCell ref="F1610:G1610"/>
    <mergeCell ref="H1610:I1616"/>
    <mergeCell ref="F1611:G1611"/>
    <mergeCell ref="F1612:G1612"/>
    <mergeCell ref="F1613:G1613"/>
    <mergeCell ref="F1614:G1614"/>
    <mergeCell ref="F1615:G1615"/>
    <mergeCell ref="F1616:G1616"/>
    <mergeCell ref="L1385:L1390"/>
    <mergeCell ref="L1392:L1396"/>
    <mergeCell ref="L1397:L1401"/>
    <mergeCell ref="A1598:S1598"/>
    <mergeCell ref="A1599:A1605"/>
    <mergeCell ref="B1599:B1608"/>
    <mergeCell ref="C1599:C1605"/>
    <mergeCell ref="D1599:D1608"/>
    <mergeCell ref="E1599:E1608"/>
    <mergeCell ref="F1599:G1599"/>
    <mergeCell ref="H1599:I1608"/>
    <mergeCell ref="F1600:G1600"/>
    <mergeCell ref="F1601:G1601"/>
    <mergeCell ref="F1602:G1602"/>
    <mergeCell ref="F1603:G1603"/>
    <mergeCell ref="F1604:G1604"/>
    <mergeCell ref="F1605:G1605"/>
    <mergeCell ref="A1606:A1608"/>
    <mergeCell ref="C1606:C1608"/>
    <mergeCell ref="F1606:G1606"/>
    <mergeCell ref="F1607:G1607"/>
    <mergeCell ref="F1608:G1608"/>
    <mergeCell ref="L1330:L1335"/>
    <mergeCell ref="L1325:L1329"/>
    <mergeCell ref="L1323:L1324"/>
    <mergeCell ref="L1321:L1322"/>
    <mergeCell ref="L1311:L1320"/>
    <mergeCell ref="L1337:L1347"/>
    <mergeCell ref="L1348:L1362"/>
    <mergeCell ref="L1363:L1374"/>
    <mergeCell ref="L1375:L1384"/>
    <mergeCell ref="L1409:L1417"/>
    <mergeCell ref="L1402:L1408"/>
    <mergeCell ref="A614:A641"/>
    <mergeCell ref="A642:A681"/>
    <mergeCell ref="A1251:S1251"/>
    <mergeCell ref="A1236:A1243"/>
    <mergeCell ref="F1236:G1243"/>
    <mergeCell ref="J1236:J1243"/>
    <mergeCell ref="L1236:L1243"/>
    <mergeCell ref="B1244:I1244"/>
    <mergeCell ref="A1245:A1250"/>
    <mergeCell ref="B1245:B1250"/>
    <mergeCell ref="C1245:C1250"/>
    <mergeCell ref="D1245:D1250"/>
    <mergeCell ref="E1245:E1250"/>
    <mergeCell ref="F1245:G1250"/>
    <mergeCell ref="H1245:I1250"/>
    <mergeCell ref="J1245:J1250"/>
    <mergeCell ref="L1245:L1250"/>
    <mergeCell ref="A1204:A1206"/>
    <mergeCell ref="F1204:G1206"/>
    <mergeCell ref="J1204:J1206"/>
    <mergeCell ref="L1204:L1206"/>
    <mergeCell ref="A1207:A1218"/>
    <mergeCell ref="F1207:G1218"/>
    <mergeCell ref="J1207:J1218"/>
    <mergeCell ref="L1207:L1218"/>
    <mergeCell ref="A1219:A1235"/>
    <mergeCell ref="F1219:G1235"/>
    <mergeCell ref="J1219:J1235"/>
    <mergeCell ref="L1219:L1235"/>
    <mergeCell ref="A1147:A1178"/>
    <mergeCell ref="F1147:G1178"/>
    <mergeCell ref="J1147:J1178"/>
    <mergeCell ref="L1147:L1178"/>
    <mergeCell ref="A1179:A1199"/>
    <mergeCell ref="F1179:G1199"/>
    <mergeCell ref="J1179:J1199"/>
    <mergeCell ref="L1179:L1199"/>
    <mergeCell ref="A1200:A1203"/>
    <mergeCell ref="F1200:G1203"/>
    <mergeCell ref="J1200:J1203"/>
    <mergeCell ref="L1200:L1203"/>
    <mergeCell ref="L1118:L1129"/>
    <mergeCell ref="A1130:A1139"/>
    <mergeCell ref="F1130:G1139"/>
    <mergeCell ref="J1130:J1139"/>
    <mergeCell ref="L1130:L1139"/>
    <mergeCell ref="A1140:A1146"/>
    <mergeCell ref="F1140:G1146"/>
    <mergeCell ref="J1140:J1146"/>
    <mergeCell ref="L1140:L1146"/>
    <mergeCell ref="A1059:A1062"/>
    <mergeCell ref="B1059:B1243"/>
    <mergeCell ref="C1059:C1243"/>
    <mergeCell ref="D1059:D1243"/>
    <mergeCell ref="E1059:E1243"/>
    <mergeCell ref="F1059:G1062"/>
    <mergeCell ref="H1059:I1243"/>
    <mergeCell ref="J1059:J1062"/>
    <mergeCell ref="L1059:L1062"/>
    <mergeCell ref="A1063:A1067"/>
    <mergeCell ref="F1063:G1067"/>
    <mergeCell ref="J1063:J1067"/>
    <mergeCell ref="L1063:L1067"/>
    <mergeCell ref="A1068:A1088"/>
    <mergeCell ref="F1068:G1088"/>
    <mergeCell ref="J1068:J1088"/>
    <mergeCell ref="L1068:L1088"/>
    <mergeCell ref="A1089:A1117"/>
    <mergeCell ref="F1089:G1117"/>
    <mergeCell ref="J1089:J1117"/>
    <mergeCell ref="L1089:L1117"/>
    <mergeCell ref="A1118:A1129"/>
    <mergeCell ref="F1118:G1129"/>
    <mergeCell ref="J1118:J1129"/>
    <mergeCell ref="J1030:J1036"/>
    <mergeCell ref="L1030:L1036"/>
    <mergeCell ref="B1037:I1037"/>
    <mergeCell ref="B1038:B1057"/>
    <mergeCell ref="C1038:C1057"/>
    <mergeCell ref="D1038:D1057"/>
    <mergeCell ref="E1038:E1057"/>
    <mergeCell ref="H1038:I1057"/>
    <mergeCell ref="A1042:A1049"/>
    <mergeCell ref="F1042:G1049"/>
    <mergeCell ref="J1042:J1049"/>
    <mergeCell ref="L1042:L1049"/>
    <mergeCell ref="A1050:A1057"/>
    <mergeCell ref="F1050:G1057"/>
    <mergeCell ref="J1050:J1057"/>
    <mergeCell ref="L1050:L1057"/>
    <mergeCell ref="J1038:J1041"/>
    <mergeCell ref="L1038:L1041"/>
    <mergeCell ref="D910:D1036"/>
    <mergeCell ref="E910:E1036"/>
    <mergeCell ref="F910:G923"/>
    <mergeCell ref="L974:L984"/>
    <mergeCell ref="F985:G992"/>
    <mergeCell ref="J985:J992"/>
    <mergeCell ref="J993:J997"/>
    <mergeCell ref="L993:L997"/>
    <mergeCell ref="A998:A1025"/>
    <mergeCell ref="F998:G1025"/>
    <mergeCell ref="J998:J1025"/>
    <mergeCell ref="L998:L1025"/>
    <mergeCell ref="A1026:A1029"/>
    <mergeCell ref="F908:G908"/>
    <mergeCell ref="F1026:G1029"/>
    <mergeCell ref="J1026:J1029"/>
    <mergeCell ref="L1026:L1029"/>
    <mergeCell ref="H910:I1036"/>
    <mergeCell ref="J910:J923"/>
    <mergeCell ref="L910:L923"/>
    <mergeCell ref="F924:G949"/>
    <mergeCell ref="J924:J949"/>
    <mergeCell ref="L924:L949"/>
    <mergeCell ref="F950:G963"/>
    <mergeCell ref="J950:J963"/>
    <mergeCell ref="L950:L963"/>
    <mergeCell ref="F964:G973"/>
    <mergeCell ref="J964:J973"/>
    <mergeCell ref="L964:L973"/>
    <mergeCell ref="F974:G984"/>
    <mergeCell ref="J974:J984"/>
    <mergeCell ref="L985:L992"/>
    <mergeCell ref="F993:G997"/>
    <mergeCell ref="L855:L873"/>
    <mergeCell ref="L802:L810"/>
    <mergeCell ref="A811:A823"/>
    <mergeCell ref="F811:G823"/>
    <mergeCell ref="J811:J823"/>
    <mergeCell ref="L811:L823"/>
    <mergeCell ref="A824:A840"/>
    <mergeCell ref="F824:G840"/>
    <mergeCell ref="J824:J840"/>
    <mergeCell ref="L824:L840"/>
    <mergeCell ref="L874:L890"/>
    <mergeCell ref="B891:I891"/>
    <mergeCell ref="A892:A893"/>
    <mergeCell ref="B892:B908"/>
    <mergeCell ref="C892:C908"/>
    <mergeCell ref="D892:D908"/>
    <mergeCell ref="E892:E908"/>
    <mergeCell ref="F892:G893"/>
    <mergeCell ref="H892:I908"/>
    <mergeCell ref="J892:J893"/>
    <mergeCell ref="L892:L894"/>
    <mergeCell ref="F894:G894"/>
    <mergeCell ref="A895:A900"/>
    <mergeCell ref="F895:G900"/>
    <mergeCell ref="J895:J900"/>
    <mergeCell ref="K895:K900"/>
    <mergeCell ref="L895:L900"/>
    <mergeCell ref="F901:G901"/>
    <mergeCell ref="A902:A907"/>
    <mergeCell ref="F902:G907"/>
    <mergeCell ref="J902:J907"/>
    <mergeCell ref="L902:L907"/>
    <mergeCell ref="B801:I801"/>
    <mergeCell ref="A802:A810"/>
    <mergeCell ref="B802:B890"/>
    <mergeCell ref="C802:C890"/>
    <mergeCell ref="D802:D890"/>
    <mergeCell ref="E802:E890"/>
    <mergeCell ref="F802:G810"/>
    <mergeCell ref="H802:I890"/>
    <mergeCell ref="J802:J810"/>
    <mergeCell ref="A841:A844"/>
    <mergeCell ref="F841:G844"/>
    <mergeCell ref="J841:J844"/>
    <mergeCell ref="A874:A890"/>
    <mergeCell ref="F874:G890"/>
    <mergeCell ref="J874:J890"/>
    <mergeCell ref="L778:L787"/>
    <mergeCell ref="A788:A796"/>
    <mergeCell ref="F788:G796"/>
    <mergeCell ref="J788:J796"/>
    <mergeCell ref="L788:L796"/>
    <mergeCell ref="A797:A800"/>
    <mergeCell ref="F797:G800"/>
    <mergeCell ref="J797:J800"/>
    <mergeCell ref="L797:L800"/>
    <mergeCell ref="L841:L844"/>
    <mergeCell ref="A845:A854"/>
    <mergeCell ref="F845:G854"/>
    <mergeCell ref="J845:J854"/>
    <mergeCell ref="L845:L854"/>
    <mergeCell ref="A855:A873"/>
    <mergeCell ref="F855:G873"/>
    <mergeCell ref="J855:J873"/>
    <mergeCell ref="B777:I777"/>
    <mergeCell ref="A778:A787"/>
    <mergeCell ref="B778:B800"/>
    <mergeCell ref="C778:C800"/>
    <mergeCell ref="D778:D800"/>
    <mergeCell ref="E778:E800"/>
    <mergeCell ref="F778:G787"/>
    <mergeCell ref="H778:I800"/>
    <mergeCell ref="J778:J787"/>
    <mergeCell ref="L731:L737"/>
    <mergeCell ref="A738:A747"/>
    <mergeCell ref="F738:G747"/>
    <mergeCell ref="L738:L747"/>
    <mergeCell ref="B748:I748"/>
    <mergeCell ref="A749:A758"/>
    <mergeCell ref="B749:B776"/>
    <mergeCell ref="C749:C776"/>
    <mergeCell ref="D749:D776"/>
    <mergeCell ref="E749:E776"/>
    <mergeCell ref="F749:G758"/>
    <mergeCell ref="H749:I776"/>
    <mergeCell ref="J749:J758"/>
    <mergeCell ref="L749:L758"/>
    <mergeCell ref="A759:A769"/>
    <mergeCell ref="F759:G769"/>
    <mergeCell ref="J759:J769"/>
    <mergeCell ref="L759:L769"/>
    <mergeCell ref="A770:A776"/>
    <mergeCell ref="F770:G776"/>
    <mergeCell ref="J770:J776"/>
    <mergeCell ref="L770:L776"/>
    <mergeCell ref="B730:I730"/>
    <mergeCell ref="A731:A737"/>
    <mergeCell ref="B731:B747"/>
    <mergeCell ref="C731:C747"/>
    <mergeCell ref="D731:D747"/>
    <mergeCell ref="E731:E747"/>
    <mergeCell ref="F731:G737"/>
    <mergeCell ref="H731:I747"/>
    <mergeCell ref="J731:J747"/>
    <mergeCell ref="H682:I684"/>
    <mergeCell ref="J682:J684"/>
    <mergeCell ref="L682:L684"/>
    <mergeCell ref="B685:I685"/>
    <mergeCell ref="A686:A697"/>
    <mergeCell ref="B686:B729"/>
    <mergeCell ref="C686:C729"/>
    <mergeCell ref="D686:D729"/>
    <mergeCell ref="E686:E729"/>
    <mergeCell ref="F686:G697"/>
    <mergeCell ref="H686:I729"/>
    <mergeCell ref="J686:J711"/>
    <mergeCell ref="L686:L697"/>
    <mergeCell ref="A698:A711"/>
    <mergeCell ref="F698:G711"/>
    <mergeCell ref="L698:L711"/>
    <mergeCell ref="A712:A729"/>
    <mergeCell ref="F712:G729"/>
    <mergeCell ref="J712:J729"/>
    <mergeCell ref="L712:L729"/>
    <mergeCell ref="A582:A605"/>
    <mergeCell ref="F582:G605"/>
    <mergeCell ref="J582:J605"/>
    <mergeCell ref="L582:L605"/>
    <mergeCell ref="A607:A613"/>
    <mergeCell ref="B607:B684"/>
    <mergeCell ref="C607:C684"/>
    <mergeCell ref="D607:D684"/>
    <mergeCell ref="E607:E684"/>
    <mergeCell ref="F607:G613"/>
    <mergeCell ref="H607:I613"/>
    <mergeCell ref="J607:J613"/>
    <mergeCell ref="L607:L613"/>
    <mergeCell ref="F614:G641"/>
    <mergeCell ref="H614:I641"/>
    <mergeCell ref="J614:J641"/>
    <mergeCell ref="L614:L641"/>
    <mergeCell ref="F642:G681"/>
    <mergeCell ref="H642:I681"/>
    <mergeCell ref="J642:J681"/>
    <mergeCell ref="L642:L681"/>
    <mergeCell ref="A682:A684"/>
    <mergeCell ref="F682:G684"/>
    <mergeCell ref="A544:A555"/>
    <mergeCell ref="F544:G555"/>
    <mergeCell ref="J544:J555"/>
    <mergeCell ref="L544:L555"/>
    <mergeCell ref="A556:A569"/>
    <mergeCell ref="F556:G569"/>
    <mergeCell ref="J556:J569"/>
    <mergeCell ref="L556:L569"/>
    <mergeCell ref="A570:A581"/>
    <mergeCell ref="F570:G581"/>
    <mergeCell ref="J570:J581"/>
    <mergeCell ref="L570:L581"/>
    <mergeCell ref="A488:A501"/>
    <mergeCell ref="F488:G501"/>
    <mergeCell ref="J488:J501"/>
    <mergeCell ref="L488:L501"/>
    <mergeCell ref="A502:A525"/>
    <mergeCell ref="F502:G525"/>
    <mergeCell ref="J502:J525"/>
    <mergeCell ref="L502:L525"/>
    <mergeCell ref="A526:A543"/>
    <mergeCell ref="F526:G543"/>
    <mergeCell ref="J526:J543"/>
    <mergeCell ref="L526:L543"/>
    <mergeCell ref="A446:A467"/>
    <mergeCell ref="F446:G467"/>
    <mergeCell ref="J446:J467"/>
    <mergeCell ref="L446:L467"/>
    <mergeCell ref="A468:A477"/>
    <mergeCell ref="F468:G477"/>
    <mergeCell ref="J468:J477"/>
    <mergeCell ref="L468:L477"/>
    <mergeCell ref="A478:A487"/>
    <mergeCell ref="F478:G487"/>
    <mergeCell ref="J478:J487"/>
    <mergeCell ref="L478:L487"/>
    <mergeCell ref="A423:A424"/>
    <mergeCell ref="F423:G424"/>
    <mergeCell ref="H423:I426"/>
    <mergeCell ref="K423:K424"/>
    <mergeCell ref="L423:L424"/>
    <mergeCell ref="O423:O426"/>
    <mergeCell ref="A425:A426"/>
    <mergeCell ref="F425:G426"/>
    <mergeCell ref="K425:K426"/>
    <mergeCell ref="L425:L426"/>
    <mergeCell ref="O304:O310"/>
    <mergeCell ref="H311:I311"/>
    <mergeCell ref="H312:I315"/>
    <mergeCell ref="H316:I317"/>
    <mergeCell ref="H318:I319"/>
    <mergeCell ref="H320:I320"/>
    <mergeCell ref="H321:I331"/>
    <mergeCell ref="A325:A345"/>
    <mergeCell ref="F325:G345"/>
    <mergeCell ref="L325:L345"/>
    <mergeCell ref="H332:I333"/>
    <mergeCell ref="H336:I336"/>
    <mergeCell ref="H337:I411"/>
    <mergeCell ref="K340:K344"/>
    <mergeCell ref="O340:O344"/>
    <mergeCell ref="A346:A375"/>
    <mergeCell ref="F346:G375"/>
    <mergeCell ref="L346:L375"/>
    <mergeCell ref="A376:A380"/>
    <mergeCell ref="F376:G380"/>
    <mergeCell ref="L376:L380"/>
    <mergeCell ref="A392:A416"/>
    <mergeCell ref="F392:G416"/>
    <mergeCell ref="L392:L416"/>
    <mergeCell ref="H413:I422"/>
    <mergeCell ref="A417:A421"/>
    <mergeCell ref="F417:G421"/>
    <mergeCell ref="A280:A301"/>
    <mergeCell ref="F280:G301"/>
    <mergeCell ref="H280:I282"/>
    <mergeCell ref="L280:L301"/>
    <mergeCell ref="H283:I284"/>
    <mergeCell ref="H285:I295"/>
    <mergeCell ref="H296:I296"/>
    <mergeCell ref="H297:I310"/>
    <mergeCell ref="A302:A324"/>
    <mergeCell ref="F302:G324"/>
    <mergeCell ref="L302:L324"/>
    <mergeCell ref="K304:K310"/>
    <mergeCell ref="A251:A265"/>
    <mergeCell ref="F251:G265"/>
    <mergeCell ref="H251:I251"/>
    <mergeCell ref="L251:L265"/>
    <mergeCell ref="H252:I254"/>
    <mergeCell ref="H255:I255"/>
    <mergeCell ref="H256:I268"/>
    <mergeCell ref="A266:A279"/>
    <mergeCell ref="F266:G279"/>
    <mergeCell ref="L266:L279"/>
    <mergeCell ref="H269:I269"/>
    <mergeCell ref="H270:I278"/>
    <mergeCell ref="H279:I279"/>
    <mergeCell ref="H226:I226"/>
    <mergeCell ref="H227:I231"/>
    <mergeCell ref="A231:A234"/>
    <mergeCell ref="F231:G234"/>
    <mergeCell ref="L231:L234"/>
    <mergeCell ref="H232:I232"/>
    <mergeCell ref="H233:I233"/>
    <mergeCell ref="H234:I234"/>
    <mergeCell ref="A235:A250"/>
    <mergeCell ref="F235:G250"/>
    <mergeCell ref="H235:I235"/>
    <mergeCell ref="L235:L250"/>
    <mergeCell ref="H236:I244"/>
    <mergeCell ref="H245:I245"/>
    <mergeCell ref="H246:I250"/>
    <mergeCell ref="L185:L201"/>
    <mergeCell ref="F202:G220"/>
    <mergeCell ref="H202:I220"/>
    <mergeCell ref="J202:J220"/>
    <mergeCell ref="L202:L220"/>
    <mergeCell ref="B222:I222"/>
    <mergeCell ref="F147:G147"/>
    <mergeCell ref="F148:G148"/>
    <mergeCell ref="A135:A148"/>
    <mergeCell ref="A150:A176"/>
    <mergeCell ref="A177:A182"/>
    <mergeCell ref="A185:A201"/>
    <mergeCell ref="A202:A220"/>
    <mergeCell ref="B183:I183"/>
    <mergeCell ref="B184:B221"/>
    <mergeCell ref="C184:C221"/>
    <mergeCell ref="D184:D221"/>
    <mergeCell ref="E184:E221"/>
    <mergeCell ref="H184:I184"/>
    <mergeCell ref="F185:G201"/>
    <mergeCell ref="H185:I201"/>
    <mergeCell ref="J185:J201"/>
    <mergeCell ref="B149:I149"/>
    <mergeCell ref="B150:B182"/>
    <mergeCell ref="C150:C182"/>
    <mergeCell ref="D150:D182"/>
    <mergeCell ref="E150:E182"/>
    <mergeCell ref="F150:G176"/>
    <mergeCell ref="H150:I176"/>
    <mergeCell ref="J150:J176"/>
    <mergeCell ref="A123:A126"/>
    <mergeCell ref="B123:B133"/>
    <mergeCell ref="C123:C133"/>
    <mergeCell ref="D123:D133"/>
    <mergeCell ref="E123:E133"/>
    <mergeCell ref="F123:G126"/>
    <mergeCell ref="H123:I133"/>
    <mergeCell ref="J123:J133"/>
    <mergeCell ref="L123:L126"/>
    <mergeCell ref="A127:A128"/>
    <mergeCell ref="F127:G128"/>
    <mergeCell ref="L127:L128"/>
    <mergeCell ref="A129:A133"/>
    <mergeCell ref="F129:G133"/>
    <mergeCell ref="L129:L133"/>
    <mergeCell ref="L150:L176"/>
    <mergeCell ref="F177:G182"/>
    <mergeCell ref="H177:I182"/>
    <mergeCell ref="J177:J182"/>
    <mergeCell ref="L177:L182"/>
    <mergeCell ref="C135:C148"/>
    <mergeCell ref="D135:D148"/>
    <mergeCell ref="E135:E148"/>
    <mergeCell ref="F135:G141"/>
    <mergeCell ref="H135:I148"/>
    <mergeCell ref="J135:J148"/>
    <mergeCell ref="L135:L141"/>
    <mergeCell ref="F142:G142"/>
    <mergeCell ref="F143:G143"/>
    <mergeCell ref="F144:G144"/>
    <mergeCell ref="F145:G145"/>
    <mergeCell ref="F146:G146"/>
    <mergeCell ref="H67:I122"/>
    <mergeCell ref="J67:J86"/>
    <mergeCell ref="L67:L71"/>
    <mergeCell ref="A72:A78"/>
    <mergeCell ref="F72:G78"/>
    <mergeCell ref="L72:L78"/>
    <mergeCell ref="A79:A80"/>
    <mergeCell ref="F79:G80"/>
    <mergeCell ref="L79:L80"/>
    <mergeCell ref="A81:A85"/>
    <mergeCell ref="F81:G85"/>
    <mergeCell ref="L81:L85"/>
    <mergeCell ref="F86:G86"/>
    <mergeCell ref="F87:G87"/>
    <mergeCell ref="J87:J108"/>
    <mergeCell ref="A88:A93"/>
    <mergeCell ref="F88:G93"/>
    <mergeCell ref="A110:A119"/>
    <mergeCell ref="F110:G119"/>
    <mergeCell ref="L110:L119"/>
    <mergeCell ref="F120:G120"/>
    <mergeCell ref="A121:A122"/>
    <mergeCell ref="F121:G122"/>
    <mergeCell ref="L121:L122"/>
    <mergeCell ref="A11:S11"/>
    <mergeCell ref="A12:A14"/>
    <mergeCell ref="B12:B66"/>
    <mergeCell ref="C12:C66"/>
    <mergeCell ref="D12:D66"/>
    <mergeCell ref="E12:E66"/>
    <mergeCell ref="F12:G14"/>
    <mergeCell ref="H12:I66"/>
    <mergeCell ref="J12:J66"/>
    <mergeCell ref="L12:L14"/>
    <mergeCell ref="A15:A26"/>
    <mergeCell ref="F15:G26"/>
    <mergeCell ref="L15:L26"/>
    <mergeCell ref="A27:A36"/>
    <mergeCell ref="F27:G36"/>
    <mergeCell ref="L27:L36"/>
    <mergeCell ref="A37:A43"/>
    <mergeCell ref="F37:G43"/>
    <mergeCell ref="L37:L43"/>
    <mergeCell ref="F44:G44"/>
    <mergeCell ref="A45:A46"/>
    <mergeCell ref="F422:G422"/>
    <mergeCell ref="L417:L421"/>
    <mergeCell ref="F381:G391"/>
    <mergeCell ref="L381:L391"/>
    <mergeCell ref="L224:L230"/>
    <mergeCell ref="H225:I225"/>
    <mergeCell ref="L88:L93"/>
    <mergeCell ref="A48:A53"/>
    <mergeCell ref="F48:G53"/>
    <mergeCell ref="L48:L53"/>
    <mergeCell ref="F54:G54"/>
    <mergeCell ref="F55:G55"/>
    <mergeCell ref="F56:G56"/>
    <mergeCell ref="L56:L66"/>
    <mergeCell ref="F57:G57"/>
    <mergeCell ref="A58:A66"/>
    <mergeCell ref="F58:G66"/>
    <mergeCell ref="A94:A99"/>
    <mergeCell ref="F94:G99"/>
    <mergeCell ref="L94:L99"/>
    <mergeCell ref="A100:A103"/>
    <mergeCell ref="F100:G103"/>
    <mergeCell ref="L100:L103"/>
    <mergeCell ref="A104:A108"/>
    <mergeCell ref="F104:G108"/>
    <mergeCell ref="L104:L108"/>
    <mergeCell ref="A67:A71"/>
    <mergeCell ref="B67:B122"/>
    <mergeCell ref="C67:C122"/>
    <mergeCell ref="D67:D122"/>
    <mergeCell ref="E67:E122"/>
    <mergeCell ref="F67:G71"/>
    <mergeCell ref="A4:S4"/>
    <mergeCell ref="N8:N9"/>
    <mergeCell ref="M8:M9"/>
    <mergeCell ref="J8:J9"/>
    <mergeCell ref="S8:S9"/>
    <mergeCell ref="A8:A9"/>
    <mergeCell ref="B8:B9"/>
    <mergeCell ref="B909:I909"/>
    <mergeCell ref="D8:D9"/>
    <mergeCell ref="E8:E9"/>
    <mergeCell ref="H8:I9"/>
    <mergeCell ref="L8:L9"/>
    <mergeCell ref="K8:K9"/>
    <mergeCell ref="F8:G9"/>
    <mergeCell ref="F10:G10"/>
    <mergeCell ref="O8:O9"/>
    <mergeCell ref="C8:C9"/>
    <mergeCell ref="H10:I10"/>
    <mergeCell ref="B427:I427"/>
    <mergeCell ref="A428:S428"/>
    <mergeCell ref="A429:A445"/>
    <mergeCell ref="B429:B605"/>
    <mergeCell ref="C429:C605"/>
    <mergeCell ref="D429:D605"/>
    <mergeCell ref="F45:G46"/>
    <mergeCell ref="L45:L46"/>
    <mergeCell ref="F47:G47"/>
    <mergeCell ref="E429:E605"/>
    <mergeCell ref="F429:G445"/>
    <mergeCell ref="H429:I605"/>
    <mergeCell ref="J429:J445"/>
    <mergeCell ref="L429:L445"/>
    <mergeCell ref="F1038:G1041"/>
    <mergeCell ref="F1030:G1036"/>
    <mergeCell ref="B1058:I1058"/>
    <mergeCell ref="H221:I221"/>
    <mergeCell ref="F109:G109"/>
    <mergeCell ref="J109:J122"/>
    <mergeCell ref="A134:S134"/>
    <mergeCell ref="B135:B148"/>
    <mergeCell ref="F221:G221"/>
    <mergeCell ref="A381:A391"/>
    <mergeCell ref="F184:G184"/>
    <mergeCell ref="A910:A923"/>
    <mergeCell ref="B910:B1036"/>
    <mergeCell ref="C910:C1036"/>
    <mergeCell ref="A1038:A1041"/>
    <mergeCell ref="A950:A963"/>
    <mergeCell ref="A964:A973"/>
    <mergeCell ref="A974:A984"/>
    <mergeCell ref="A985:A992"/>
    <mergeCell ref="A993:A997"/>
    <mergeCell ref="A1030:A1036"/>
    <mergeCell ref="A924:A949"/>
    <mergeCell ref="A223:S223"/>
    <mergeCell ref="A224:A230"/>
    <mergeCell ref="B224:B426"/>
    <mergeCell ref="C224:C426"/>
    <mergeCell ref="D224:D426"/>
    <mergeCell ref="E224:E426"/>
    <mergeCell ref="F224:G230"/>
    <mergeCell ref="H224:I224"/>
    <mergeCell ref="J224:J426"/>
    <mergeCell ref="H412:I412"/>
    <mergeCell ref="O2:S2"/>
    <mergeCell ref="A1252:A1417"/>
    <mergeCell ref="B1252:B1417"/>
    <mergeCell ref="C1252:C1417"/>
    <mergeCell ref="D1252:D1417"/>
    <mergeCell ref="E1252:E1417"/>
    <mergeCell ref="F1252:G1252"/>
    <mergeCell ref="H1252:I1443"/>
    <mergeCell ref="J1252:J1443"/>
    <mergeCell ref="F1253:G1253"/>
    <mergeCell ref="F1254:G1262"/>
    <mergeCell ref="K1254:K1262"/>
    <mergeCell ref="L1254:L1262"/>
    <mergeCell ref="F1263:G1271"/>
    <mergeCell ref="K1263:K1271"/>
    <mergeCell ref="L1263:L1271"/>
    <mergeCell ref="F1272:G1281"/>
    <mergeCell ref="K1272:K1281"/>
    <mergeCell ref="L1272:L1281"/>
    <mergeCell ref="F1282:G1289"/>
    <mergeCell ref="K1282:K1289"/>
    <mergeCell ref="L1282:L1289"/>
    <mergeCell ref="F1290:G1298"/>
    <mergeCell ref="K1290:K1298"/>
    <mergeCell ref="L1290:L1298"/>
    <mergeCell ref="F1299:G1299"/>
    <mergeCell ref="F1300:G1300"/>
    <mergeCell ref="F1301:G1305"/>
    <mergeCell ref="K1301:K1305"/>
    <mergeCell ref="L1301:L1305"/>
    <mergeCell ref="F1306:G1309"/>
    <mergeCell ref="K1306:K1309"/>
    <mergeCell ref="L1306:L1309"/>
    <mergeCell ref="F1310:G1310"/>
    <mergeCell ref="F1311:G1320"/>
    <mergeCell ref="K1311:K1320"/>
    <mergeCell ref="F1321:G1322"/>
    <mergeCell ref="K1321:K1322"/>
    <mergeCell ref="F1323:G1324"/>
    <mergeCell ref="K1323:K1324"/>
    <mergeCell ref="F1325:G1329"/>
    <mergeCell ref="K1325:K1329"/>
    <mergeCell ref="F1330:G1335"/>
    <mergeCell ref="K1330:K1335"/>
    <mergeCell ref="F1336:G1336"/>
    <mergeCell ref="F1337:G1347"/>
    <mergeCell ref="K1337:K1347"/>
    <mergeCell ref="F1348:G1362"/>
    <mergeCell ref="K1348:K1362"/>
    <mergeCell ref="F1363:G1374"/>
    <mergeCell ref="K1363:K1374"/>
    <mergeCell ref="F1375:G1384"/>
    <mergeCell ref="K1375:K1384"/>
    <mergeCell ref="F1385:G1390"/>
    <mergeCell ref="K1385:K1390"/>
    <mergeCell ref="F1391:G1391"/>
    <mergeCell ref="F1392:G1396"/>
    <mergeCell ref="K1392:K1396"/>
    <mergeCell ref="F1397:G1401"/>
    <mergeCell ref="K1397:K1401"/>
    <mergeCell ref="F1402:G1402"/>
    <mergeCell ref="F1403:G1404"/>
    <mergeCell ref="K1403:K1404"/>
    <mergeCell ref="F1405:G1408"/>
    <mergeCell ref="K1405:K1408"/>
    <mergeCell ref="F1409:G1415"/>
    <mergeCell ref="K1409:K1415"/>
    <mergeCell ref="E1448:E1464"/>
    <mergeCell ref="F1448:G1456"/>
    <mergeCell ref="F1416:G1416"/>
    <mergeCell ref="F1417:G1417"/>
    <mergeCell ref="L1418:L1428"/>
    <mergeCell ref="F1429:G1438"/>
    <mergeCell ref="K1429:K1438"/>
    <mergeCell ref="L1429:L1438"/>
    <mergeCell ref="F1439:G1442"/>
    <mergeCell ref="K1439:K1442"/>
    <mergeCell ref="L1439:L1443"/>
    <mergeCell ref="F1443:G1443"/>
    <mergeCell ref="F1444:G1447"/>
    <mergeCell ref="H1444:I1447"/>
    <mergeCell ref="J1444:J1447"/>
    <mergeCell ref="K1444:K1447"/>
    <mergeCell ref="L1444:L1447"/>
    <mergeCell ref="H1448:I1464"/>
    <mergeCell ref="J1448:J1456"/>
    <mergeCell ref="K1448:K1456"/>
    <mergeCell ref="F1493:G1503"/>
    <mergeCell ref="H1493:I1528"/>
    <mergeCell ref="J1493:J1528"/>
    <mergeCell ref="K1493:K1506"/>
    <mergeCell ref="A1418:A1447"/>
    <mergeCell ref="B1418:B1447"/>
    <mergeCell ref="C1418:C1447"/>
    <mergeCell ref="D1418:D1447"/>
    <mergeCell ref="E1418:E1447"/>
    <mergeCell ref="F1418:G1428"/>
    <mergeCell ref="L1448:L1456"/>
    <mergeCell ref="F1457:G1464"/>
    <mergeCell ref="J1457:J1464"/>
    <mergeCell ref="K1457:K1464"/>
    <mergeCell ref="L1457:L1464"/>
    <mergeCell ref="A1465:A1473"/>
    <mergeCell ref="B1465:B1473"/>
    <mergeCell ref="C1465:C1473"/>
    <mergeCell ref="D1465:D1473"/>
    <mergeCell ref="E1465:E1473"/>
    <mergeCell ref="F1465:G1467"/>
    <mergeCell ref="H1465:I1473"/>
    <mergeCell ref="J1465:J1473"/>
    <mergeCell ref="K1465:K1467"/>
    <mergeCell ref="L1465:L1467"/>
    <mergeCell ref="F1468:G1473"/>
    <mergeCell ref="K1468:K1473"/>
    <mergeCell ref="L1468:L1473"/>
    <mergeCell ref="A1448:A1464"/>
    <mergeCell ref="B1448:B1464"/>
    <mergeCell ref="C1448:C1464"/>
    <mergeCell ref="D1448:D1464"/>
    <mergeCell ref="L1474:L1476"/>
    <mergeCell ref="F1477:G1477"/>
    <mergeCell ref="H1477:I1477"/>
    <mergeCell ref="C1478:C1492"/>
    <mergeCell ref="D1478:D1492"/>
    <mergeCell ref="E1478:E1492"/>
    <mergeCell ref="F1478:G1492"/>
    <mergeCell ref="H1478:I1492"/>
    <mergeCell ref="J1478:J1492"/>
    <mergeCell ref="K1478:K1492"/>
    <mergeCell ref="L1478:L1492"/>
    <mergeCell ref="L1493:L1506"/>
    <mergeCell ref="F1504:G1506"/>
    <mergeCell ref="A1507:A1528"/>
    <mergeCell ref="F1507:G1525"/>
    <mergeCell ref="K1507:K1528"/>
    <mergeCell ref="L1507:L1525"/>
    <mergeCell ref="F1526:G1528"/>
    <mergeCell ref="L1526:L1528"/>
    <mergeCell ref="A1474:A1492"/>
    <mergeCell ref="B1474:B1528"/>
    <mergeCell ref="C1474:C1476"/>
    <mergeCell ref="D1474:D1476"/>
    <mergeCell ref="E1474:E1476"/>
    <mergeCell ref="F1474:G1476"/>
    <mergeCell ref="H1474:I1476"/>
    <mergeCell ref="J1474:J1476"/>
    <mergeCell ref="K1474:K1476"/>
    <mergeCell ref="A1493:A1506"/>
    <mergeCell ref="C1493:C1528"/>
    <mergeCell ref="D1493:D1528"/>
    <mergeCell ref="E1493:E1528"/>
    <mergeCell ref="A1529:A1540"/>
    <mergeCell ref="B1529:B1540"/>
    <mergeCell ref="C1529:C1540"/>
    <mergeCell ref="D1529:D1540"/>
    <mergeCell ref="E1529:E1540"/>
    <mergeCell ref="F1529:G1531"/>
    <mergeCell ref="H1529:I1540"/>
    <mergeCell ref="J1529:J1531"/>
    <mergeCell ref="K1529:K1531"/>
    <mergeCell ref="L1529:L1531"/>
    <mergeCell ref="F1532:G1540"/>
    <mergeCell ref="J1532:J1540"/>
    <mergeCell ref="K1532:K1540"/>
    <mergeCell ref="L1532:L1540"/>
    <mergeCell ref="A1541:A1558"/>
    <mergeCell ref="B1541:B1558"/>
    <mergeCell ref="C1541:C1558"/>
    <mergeCell ref="D1541:D1558"/>
    <mergeCell ref="E1541:E1558"/>
    <mergeCell ref="F1541:G1542"/>
    <mergeCell ref="H1541:I1558"/>
    <mergeCell ref="J1541:J1558"/>
    <mergeCell ref="K1541:K1545"/>
    <mergeCell ref="L1541:L1545"/>
    <mergeCell ref="F1543:G1545"/>
    <mergeCell ref="F1546:G1557"/>
    <mergeCell ref="K1546:K1557"/>
    <mergeCell ref="L1546:L1558"/>
    <mergeCell ref="F1558:G1558"/>
    <mergeCell ref="E1559:E1579"/>
    <mergeCell ref="F1559:G1569"/>
    <mergeCell ref="H1559:I1588"/>
    <mergeCell ref="J1559:J1569"/>
    <mergeCell ref="K1559:K1569"/>
    <mergeCell ref="L1559:L1569"/>
    <mergeCell ref="F1570:G1579"/>
    <mergeCell ref="J1570:J1579"/>
    <mergeCell ref="K1570:K1579"/>
    <mergeCell ref="L1570:L1579"/>
    <mergeCell ref="A1580:A1588"/>
    <mergeCell ref="B1580:B1588"/>
    <mergeCell ref="C1580:C1588"/>
    <mergeCell ref="D1580:D1588"/>
    <mergeCell ref="E1580:E1588"/>
    <mergeCell ref="F1580:G1580"/>
    <mergeCell ref="F1581:G1588"/>
    <mergeCell ref="J1581:J1588"/>
    <mergeCell ref="K1581:K1588"/>
    <mergeCell ref="L1581:L1588"/>
    <mergeCell ref="F1589:G1589"/>
    <mergeCell ref="H1589:I1589"/>
    <mergeCell ref="A1590:S1590"/>
    <mergeCell ref="F1595:G1595"/>
    <mergeCell ref="H1591:I1597"/>
    <mergeCell ref="F1597:G1597"/>
    <mergeCell ref="F1596:G1596"/>
    <mergeCell ref="B1591:B1597"/>
    <mergeCell ref="C1591:C1597"/>
    <mergeCell ref="D1591:D1597"/>
    <mergeCell ref="E1591:E1597"/>
    <mergeCell ref="F1591:G1591"/>
    <mergeCell ref="F1592:G1592"/>
    <mergeCell ref="F1593:G1593"/>
    <mergeCell ref="F1594:G1594"/>
    <mergeCell ref="P8:P9"/>
    <mergeCell ref="Q8:Q9"/>
    <mergeCell ref="R8:R9"/>
    <mergeCell ref="P340:P344"/>
    <mergeCell ref="Q340:Q344"/>
    <mergeCell ref="R340:R344"/>
    <mergeCell ref="P304:P310"/>
    <mergeCell ref="Q304:Q310"/>
    <mergeCell ref="R304:R310"/>
    <mergeCell ref="P423:P426"/>
    <mergeCell ref="Q423:Q426"/>
    <mergeCell ref="R423:R426"/>
    <mergeCell ref="B606:S606"/>
    <mergeCell ref="A1559:A1579"/>
    <mergeCell ref="B1559:B1579"/>
    <mergeCell ref="C1559:C1579"/>
    <mergeCell ref="D1559:D1579"/>
  </mergeCells>
  <pageMargins left="0.7" right="0.7" top="0.75" bottom="0.75" header="0.3" footer="0.3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2025-10-10T10:11:52Z</dcterms:modified>
</cp:coreProperties>
</file>